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RITING\writing4money\20 question\"/>
    </mc:Choice>
  </mc:AlternateContent>
  <bookViews>
    <workbookView xWindow="0" yWindow="0" windowWidth="15345" windowHeight="4560" tabRatio="946"/>
  </bookViews>
  <sheets>
    <sheet name="Sheet1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7" r:id="rId11"/>
    <sheet name="Sheet12" sheetId="13" r:id="rId12"/>
    <sheet name="Sheet13" sheetId="18" r:id="rId13"/>
    <sheet name="Sheet14" sheetId="15" r:id="rId14"/>
    <sheet name="Sheet15" sheetId="19" r:id="rId15"/>
    <sheet name="Sheet16" sheetId="20" r:id="rId16"/>
    <sheet name="Sheet17" sheetId="21" r:id="rId17"/>
    <sheet name="Sheet18" sheetId="22" r:id="rId18"/>
    <sheet name="Sheet19" sheetId="23" r:id="rId19"/>
    <sheet name="Sheet20" sheetId="16" r:id="rId20"/>
  </sheets>
  <definedNames>
    <definedName name="_xlnm.Print_Area" localSheetId="0">Sheet1!$B$1:$D$10</definedName>
    <definedName name="_xlnm.Print_Area" localSheetId="9">Sheet10!$B$1:$F$14</definedName>
    <definedName name="_xlnm.Print_Area" localSheetId="10">Sheet11!$B$1:$E$13</definedName>
    <definedName name="_xlnm.Print_Area" localSheetId="11">Sheet12!$C$1:$G$45</definedName>
    <definedName name="_xlnm.Print_Area" localSheetId="12">Sheet13!$C$1:$J$37</definedName>
    <definedName name="_xlnm.Print_Area" localSheetId="13">Sheet14!$B$1:$E$26</definedName>
    <definedName name="_xlnm.Print_Area" localSheetId="14">Sheet15!$C$1:$F$18</definedName>
    <definedName name="_xlnm.Print_Area" localSheetId="15">Sheet16!$A$1:$I$26</definedName>
    <definedName name="_xlnm.Print_Area" localSheetId="16">Sheet17!$C$1:$J$28</definedName>
    <definedName name="_xlnm.Print_Area" localSheetId="17">Sheet18!$C$1:$M$14</definedName>
    <definedName name="_xlnm.Print_Area" localSheetId="18">Sheet19!$B$1:$H$32</definedName>
    <definedName name="_xlnm.Print_Area" localSheetId="1">Sheet2!$B$1:$I$15</definedName>
    <definedName name="_xlnm.Print_Area" localSheetId="19">Sheet20!$B$1:$E$13</definedName>
    <definedName name="_xlnm.Print_Area" localSheetId="2">Sheet3!$B$1:$F$15</definedName>
    <definedName name="_xlnm.Print_Area" localSheetId="3">Sheet4!$B$1:$F$15</definedName>
    <definedName name="_xlnm.Print_Area" localSheetId="4">Sheet5!$B$1:$F$9</definedName>
    <definedName name="_xlnm.Print_Area" localSheetId="5">Sheet6!$B$1:$F$17</definedName>
    <definedName name="_xlnm.Print_Area" localSheetId="6">Sheet7!$B$1:$F$19</definedName>
    <definedName name="_xlnm.Print_Area" localSheetId="7">Sheet8!$B$1:$F$26</definedName>
    <definedName name="_xlnm.Print_Area" localSheetId="8">Sheet9!$B$1:$G$27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3" l="1"/>
  <c r="H32" i="23"/>
  <c r="F32" i="23"/>
  <c r="F31" i="23"/>
  <c r="G31" i="23" s="1"/>
  <c r="H31" i="23" s="1"/>
  <c r="F26" i="23"/>
  <c r="F23" i="23"/>
  <c r="F20" i="23"/>
  <c r="F17" i="23"/>
  <c r="F14" i="23"/>
  <c r="F7" i="23"/>
  <c r="F4" i="23"/>
  <c r="F18" i="19"/>
  <c r="F15" i="19"/>
  <c r="F12" i="19"/>
  <c r="F9" i="19"/>
  <c r="F3" i="19"/>
  <c r="F37" i="18"/>
  <c r="F34" i="18"/>
  <c r="F30" i="18"/>
  <c r="F18" i="18"/>
  <c r="F10" i="18"/>
  <c r="F7" i="18"/>
  <c r="I25" i="21"/>
  <c r="I21" i="21"/>
  <c r="I20" i="21"/>
  <c r="I19" i="21"/>
  <c r="I18" i="21"/>
  <c r="I14" i="21"/>
  <c r="I8" i="21"/>
  <c r="I13" i="21"/>
  <c r="I12" i="21"/>
  <c r="I11" i="21"/>
  <c r="I7" i="21"/>
  <c r="I6" i="21"/>
  <c r="I5" i="21"/>
  <c r="E27" i="21"/>
  <c r="F28" i="21" s="1"/>
  <c r="F25" i="21"/>
  <c r="E21" i="21"/>
  <c r="F22" i="21" s="1"/>
  <c r="D21" i="21"/>
  <c r="E18" i="21"/>
  <c r="F19" i="21" s="1"/>
  <c r="D11" i="21"/>
  <c r="E8" i="21"/>
  <c r="E11" i="21" s="1"/>
  <c r="F12" i="21" s="1"/>
  <c r="F6" i="21"/>
  <c r="F3" i="21"/>
  <c r="H24" i="20"/>
  <c r="H26" i="20" s="1"/>
  <c r="H19" i="20"/>
  <c r="H20" i="20"/>
  <c r="H21" i="20"/>
  <c r="H22" i="20"/>
  <c r="H23" i="20"/>
  <c r="H18" i="20"/>
  <c r="I12" i="20"/>
  <c r="H11" i="20"/>
  <c r="H4" i="20"/>
  <c r="H5" i="20"/>
  <c r="N13" i="20"/>
  <c r="G5" i="20"/>
  <c r="N18" i="20"/>
  <c r="N16" i="20"/>
  <c r="D26" i="20"/>
  <c r="D25" i="20" s="1"/>
  <c r="C21" i="20"/>
  <c r="D22" i="20" s="1"/>
  <c r="N17" i="20" s="1"/>
  <c r="C14" i="20"/>
  <c r="D16" i="20" s="1"/>
  <c r="D12" i="20"/>
  <c r="D8" i="20"/>
  <c r="D5" i="20"/>
  <c r="C4" i="20" s="1"/>
  <c r="E7" i="22"/>
  <c r="K7" i="22"/>
  <c r="D7" i="22"/>
  <c r="G3" i="22"/>
  <c r="H5" i="22"/>
  <c r="H3" i="22"/>
  <c r="G5" i="22"/>
  <c r="G6" i="22"/>
  <c r="H6" i="22" s="1"/>
  <c r="F5" i="22"/>
  <c r="F6" i="22"/>
  <c r="F4" i="22"/>
  <c r="G4" i="22" s="1"/>
  <c r="D3" i="17"/>
  <c r="E4" i="17" s="1"/>
  <c r="D7" i="17" s="1"/>
  <c r="E8" i="17" s="1"/>
  <c r="J4" i="22" l="1"/>
  <c r="I4" i="22"/>
  <c r="H4" i="22"/>
  <c r="L4" i="22" s="1"/>
  <c r="G7" i="22"/>
  <c r="I12" i="22" s="1"/>
  <c r="L3" i="22"/>
  <c r="L5" i="22"/>
  <c r="I6" i="22"/>
  <c r="L6" i="22" s="1"/>
  <c r="J6" i="22"/>
  <c r="I5" i="22"/>
  <c r="M5" i="22" s="1"/>
  <c r="J5" i="22"/>
  <c r="F7" i="22"/>
  <c r="I3" i="22"/>
  <c r="J3" i="22"/>
  <c r="F9" i="21"/>
  <c r="D15" i="20"/>
  <c r="N15" i="20"/>
  <c r="N14" i="20"/>
  <c r="N19" i="20" s="1"/>
  <c r="N21" i="20" s="1"/>
  <c r="I6" i="20" s="1"/>
  <c r="F5" i="13"/>
  <c r="F30" i="13"/>
  <c r="F23" i="10"/>
  <c r="D23" i="10"/>
  <c r="F18" i="10"/>
  <c r="F8" i="10"/>
  <c r="E10" i="9"/>
  <c r="E11" i="9" s="1"/>
  <c r="E12" i="9" s="1"/>
  <c r="F6" i="6"/>
  <c r="F9" i="5"/>
  <c r="F6" i="5"/>
  <c r="C15" i="3"/>
  <c r="E15" i="3" s="1"/>
  <c r="E11" i="3"/>
  <c r="H7" i="22" l="1"/>
  <c r="J7" i="22"/>
  <c r="M3" i="22"/>
  <c r="I7" i="22"/>
  <c r="M6" i="22"/>
  <c r="M4" i="22"/>
  <c r="F27" i="10"/>
  <c r="D10" i="1"/>
  <c r="M7" i="22" l="1"/>
  <c r="L7" i="22"/>
  <c r="J14" i="22" s="1"/>
  <c r="J13" i="22" s="1"/>
</calcChain>
</file>

<file path=xl/sharedStrings.xml><?xml version="1.0" encoding="utf-8"?>
<sst xmlns="http://schemas.openxmlformats.org/spreadsheetml/2006/main" count="502" uniqueCount="297">
  <si>
    <t>Brief Exercise 10-01</t>
  </si>
  <si>
    <t>$</t>
  </si>
  <si>
    <t>Cash Price</t>
  </si>
  <si>
    <t>Attornys Fee</t>
  </si>
  <si>
    <t>Accrued Taxes</t>
  </si>
  <si>
    <t>Broker Commission</t>
  </si>
  <si>
    <t>Clearing and Grading</t>
  </si>
  <si>
    <t>Cost of Land</t>
  </si>
  <si>
    <t>Expenses (Relevant to
Assest)</t>
  </si>
  <si>
    <t>Total (Cost of Land)</t>
  </si>
  <si>
    <t>Brief Exercise 10-06</t>
  </si>
  <si>
    <t>UseFul Life</t>
  </si>
  <si>
    <t>4 Years</t>
  </si>
  <si>
    <t>Cost of Truck</t>
  </si>
  <si>
    <t>Residual Value</t>
  </si>
  <si>
    <t>Straight Line method (Depriciation)</t>
  </si>
  <si>
    <t xml:space="preserve">Because Useful life is 4 Years </t>
  </si>
  <si>
    <t xml:space="preserve">Declining Balance method </t>
  </si>
  <si>
    <t>Declining balance method is double od straight line method</t>
  </si>
  <si>
    <t>Working</t>
  </si>
  <si>
    <t>Year 1</t>
  </si>
  <si>
    <t>Initial Cost X 50%</t>
  </si>
  <si>
    <t>Depriciation</t>
  </si>
  <si>
    <t>Year 2</t>
  </si>
  <si>
    <t>Initial Cost</t>
  </si>
  <si>
    <t>(Initail cost - Depriciation) X 50%</t>
  </si>
  <si>
    <t>Remaining Cost</t>
  </si>
  <si>
    <t>38000X50%</t>
  </si>
  <si>
    <t>76000X50%</t>
  </si>
  <si>
    <t>Brief Exercise 11-03 a1-a2</t>
  </si>
  <si>
    <t>Sales Register at 16-March</t>
  </si>
  <si>
    <t>All sales are subject to 5%sales tax.</t>
  </si>
  <si>
    <t>All Sales are Inclusive of Tax</t>
  </si>
  <si>
    <t>total sales value/ X 5
105</t>
  </si>
  <si>
    <t>Tax Value</t>
  </si>
  <si>
    <t>31500/105 X5</t>
  </si>
  <si>
    <t>For Sale Value</t>
  </si>
  <si>
    <t>For Tax Value</t>
  </si>
  <si>
    <t>total sales value/ X 100
105</t>
  </si>
  <si>
    <t>31500/105 X100</t>
  </si>
  <si>
    <t>Sale Value</t>
  </si>
  <si>
    <t>Double Entry</t>
  </si>
  <si>
    <t>Cash</t>
  </si>
  <si>
    <t>Inventory (Auto Supply)</t>
  </si>
  <si>
    <t>Cash Received</t>
  </si>
  <si>
    <t>Tax Payable to Tax Authorities</t>
  </si>
  <si>
    <t>Brief Exercise 11-05 a-b</t>
  </si>
  <si>
    <t>Working Capital</t>
  </si>
  <si>
    <t>WC=Current assets - Current Liabilities</t>
  </si>
  <si>
    <t>Current Assets</t>
  </si>
  <si>
    <t>Current Liabilities</t>
  </si>
  <si>
    <t>Current Ratio</t>
  </si>
  <si>
    <t>Current Ratio =Current Assets/Current Liabilities</t>
  </si>
  <si>
    <t>4,594,772/1,717,728</t>
  </si>
  <si>
    <t>2.67 : 1</t>
  </si>
  <si>
    <t>Exercise 11-08 a-b</t>
  </si>
  <si>
    <t>11,145/4795</t>
  </si>
  <si>
    <t>2.32 : 1</t>
  </si>
  <si>
    <t>11,145-4,795</t>
  </si>
  <si>
    <t>9,616/5,857</t>
  </si>
  <si>
    <t>1.64 : 1</t>
  </si>
  <si>
    <t>9,616-5,857</t>
  </si>
  <si>
    <t>4,594,772 - 1,717,728</t>
  </si>
  <si>
    <t>million</t>
  </si>
  <si>
    <t>At the end of Year 2020</t>
  </si>
  <si>
    <t>10,946/4,596</t>
  </si>
  <si>
    <t>2.38 : 1</t>
  </si>
  <si>
    <t>10,946 - 4,596</t>
  </si>
  <si>
    <t>Brief Exercise 11-02</t>
  </si>
  <si>
    <t>a)</t>
  </si>
  <si>
    <t>Journal entry of note proceed</t>
  </si>
  <si>
    <t>Total Amount 
borrowed at 10%</t>
  </si>
  <si>
    <t>At 1 july</t>
  </si>
  <si>
    <t>Cash Received (From Bank)</t>
  </si>
  <si>
    <t>At 31 December</t>
  </si>
  <si>
    <t>Interest payable</t>
  </si>
  <si>
    <t>Interest Expense</t>
  </si>
  <si>
    <t>To Record Accrued Interest for 6 month
($61,200 X 10% X 6/12)</t>
  </si>
  <si>
    <t>Loan Payable (to bank)</t>
  </si>
  <si>
    <t>Exercise 11-02 a-d</t>
  </si>
  <si>
    <t>Account Title</t>
  </si>
  <si>
    <t>Debit</t>
  </si>
  <si>
    <t>Credit</t>
  </si>
  <si>
    <t>At 1st June</t>
  </si>
  <si>
    <t>Date</t>
  </si>
  <si>
    <t>Bramble company borrows $85,500 at 8% for 6-months</t>
  </si>
  <si>
    <t>At 30th june</t>
  </si>
  <si>
    <t>To Record Accrued Interest for 1 month
($85,500 X 8% X 1/6)</t>
  </si>
  <si>
    <t>1st Dec</t>
  </si>
  <si>
    <t>Account Title &amp; Explanation</t>
  </si>
  <si>
    <t>Loan Payable (To Bank)</t>
  </si>
  <si>
    <t>Interest Payable</t>
  </si>
  <si>
    <t>Total Finance Cost</t>
  </si>
  <si>
    <t>85500 X 8% (for 6months)</t>
  </si>
  <si>
    <t>Exercise 11-05 a-c</t>
  </si>
  <si>
    <t>Warranty Liability</t>
  </si>
  <si>
    <t>Repaired defective products 
under warrany at a cost of $19,485</t>
  </si>
  <si>
    <t>Journal Entry for warranty liability for units sold in november and december</t>
  </si>
  <si>
    <t>Total Unit Sold in Nov and Dec</t>
  </si>
  <si>
    <t>39200+41200</t>
  </si>
  <si>
    <t>3% Estimate of defective products</t>
  </si>
  <si>
    <t>80400 X 3%</t>
  </si>
  <si>
    <t>Total amount for this estimate</t>
  </si>
  <si>
    <t>2412 X 15</t>
  </si>
  <si>
    <t>Warranty Expense</t>
  </si>
  <si>
    <t>31st Dec</t>
  </si>
  <si>
    <t>To record warranty liability 
equal to 3% of total sales</t>
  </si>
  <si>
    <t>Entry of honoring of 500 warranty contracts in january at a average cost of $15</t>
  </si>
  <si>
    <t>January</t>
  </si>
  <si>
    <t>To record the 500 warranty contracts liability at average cost of $15
($500 X $15)</t>
  </si>
  <si>
    <t>c)</t>
  </si>
  <si>
    <t>b)</t>
  </si>
  <si>
    <t>d)</t>
  </si>
  <si>
    <t>Brief Exercise 11-08</t>
  </si>
  <si>
    <t>Swifty pay for the period 15-jan</t>
  </si>
  <si>
    <t>Payment of Swifty's Wage</t>
  </si>
  <si>
    <t>FICA Tax  @ 7.65%</t>
  </si>
  <si>
    <t>Exercise 15-15 a-d</t>
  </si>
  <si>
    <t>jan-1-2020</t>
  </si>
  <si>
    <t>Bond Payable</t>
  </si>
  <si>
    <t>Dec-31-2020</t>
  </si>
  <si>
    <t>jan-1-2021</t>
  </si>
  <si>
    <t>jan-1-2040</t>
  </si>
  <si>
    <t>Cash (Received From Bank)</t>
  </si>
  <si>
    <t>Current Liabilities 
(Reduction of $199m in liabilities)</t>
  </si>
  <si>
    <t>Current assets 
(after paying off $199m liabtiities)</t>
  </si>
  <si>
    <t>Problem 10-02A a1-b</t>
  </si>
  <si>
    <t>For Bus # 3 Depriciation Expense per mile.</t>
  </si>
  <si>
    <t>Total miles</t>
  </si>
  <si>
    <t>26000+34500+30000</t>
  </si>
  <si>
    <t>Salvage Value</t>
  </si>
  <si>
    <t>Cost</t>
  </si>
  <si>
    <t>Depriciation per mile 
= cost-salvage value/total miles</t>
  </si>
  <si>
    <t>92500-8500/90500</t>
  </si>
  <si>
    <t>per mile</t>
  </si>
  <si>
    <t>Accumulated Depriciation for each Bus at 31 December 2020</t>
  </si>
  <si>
    <t>Bus 1</t>
  </si>
  <si>
    <t>Accumulated Depriciation</t>
  </si>
  <si>
    <t>99200-6000/4 X 3</t>
  </si>
  <si>
    <t>cost-salvage value
/useful life X required years</t>
  </si>
  <si>
    <t>Bus 2</t>
  </si>
  <si>
    <t>Straight line method</t>
  </si>
  <si>
    <t>Declining Method</t>
  </si>
  <si>
    <t>Initial cost X rate of depriciation</t>
  </si>
  <si>
    <t>Declining rate is doble</t>
  </si>
  <si>
    <t>For 2018</t>
  </si>
  <si>
    <t>111000 X 50%</t>
  </si>
  <si>
    <t>For 2019</t>
  </si>
  <si>
    <t>(Initial cost - depriciation) X 50%</t>
  </si>
  <si>
    <t>(111000-55500) X 50%</t>
  </si>
  <si>
    <t>For 2020</t>
  </si>
  <si>
    <t>(Initial cost - Accumulated depriciation) X 50%</t>
  </si>
  <si>
    <t>(111000-55500-27750) X 50%</t>
  </si>
  <si>
    <t>Bus 3</t>
  </si>
  <si>
    <t>Accumulated Depriciation  
= cost-salvage value/total miles X covered miles</t>
  </si>
  <si>
    <t>92500-8500/90500 X 60500</t>
  </si>
  <si>
    <t>Depriciation for Bus 2 if purchased on 1 April 2018</t>
  </si>
  <si>
    <t>111000 X 50% X 9/12</t>
  </si>
  <si>
    <t>(111000-41625) X 50%</t>
  </si>
  <si>
    <t>Problem 10-06A</t>
  </si>
  <si>
    <t xml:space="preserve">It was scrapped as having no value </t>
  </si>
  <si>
    <t>Depriciation value</t>
  </si>
  <si>
    <t>Loss on equipment</t>
  </si>
  <si>
    <t>Equipment / Asset Account</t>
  </si>
  <si>
    <t>It was sold for $22,200</t>
  </si>
  <si>
    <t>Cash Received (from Disposal)</t>
  </si>
  <si>
    <t>It was sold for $27,200</t>
  </si>
  <si>
    <t>Profit on disposal</t>
  </si>
  <si>
    <t>Question 04 a-b</t>
  </si>
  <si>
    <t>when the tickets were sold</t>
  </si>
  <si>
    <t>Double Entry after each game</t>
  </si>
  <si>
    <t>Cash Received ( 15000 X $80)</t>
  </si>
  <si>
    <t>Salary Expense</t>
  </si>
  <si>
    <t>Withholding tax</t>
  </si>
  <si>
    <t>Net Payable to Swifty</t>
  </si>
  <si>
    <t>Deffered Income Liability</t>
  </si>
  <si>
    <t>Sale Revenue</t>
  </si>
  <si>
    <t>Cash Paid (to Swifty)</t>
  </si>
  <si>
    <t>Net Payable (of Swifty)</t>
  </si>
  <si>
    <t>Dec-31 2019</t>
  </si>
  <si>
    <t>Dr</t>
  </si>
  <si>
    <t>Cr</t>
  </si>
  <si>
    <t xml:space="preserve">Account title </t>
  </si>
  <si>
    <t>Cash (Received)</t>
  </si>
  <si>
    <t>Loan Liablity (loan)</t>
  </si>
  <si>
    <t>DATE</t>
  </si>
  <si>
    <t xml:space="preserve">ACCOUNT </t>
  </si>
  <si>
    <t xml:space="preserve">DR </t>
  </si>
  <si>
    <t>CR</t>
  </si>
  <si>
    <t>Dec-31 2020</t>
  </si>
  <si>
    <t xml:space="preserve">Interest Expense </t>
  </si>
  <si>
    <t xml:space="preserve">Cash Payable </t>
  </si>
  <si>
    <t>Payment</t>
  </si>
  <si>
    <t>Dec-31 2029</t>
  </si>
  <si>
    <t>Loan payable</t>
  </si>
  <si>
    <t>Jan</t>
  </si>
  <si>
    <t>Feb</t>
  </si>
  <si>
    <t>Sep</t>
  </si>
  <si>
    <t>Oct</t>
  </si>
  <si>
    <t>Dec</t>
  </si>
  <si>
    <t>Employee</t>
  </si>
  <si>
    <t>Hours</t>
  </si>
  <si>
    <t>Regularly</t>
  </si>
  <si>
    <t>overtime</t>
  </si>
  <si>
    <t>Gross pay</t>
  </si>
  <si>
    <t>FICA</t>
  </si>
  <si>
    <t>Fedral income tax</t>
  </si>
  <si>
    <t>State income tax</t>
  </si>
  <si>
    <t>United Fund</t>
  </si>
  <si>
    <t>Total</t>
  </si>
  <si>
    <t>Eaarning</t>
  </si>
  <si>
    <t>Deductions</t>
  </si>
  <si>
    <t>Ben Abel</t>
  </si>
  <si>
    <t>Rita</t>
  </si>
  <si>
    <t>Jack</t>
  </si>
  <si>
    <t>Sue</t>
  </si>
  <si>
    <t>DR</t>
  </si>
  <si>
    <t>Salary Expenese</t>
  </si>
  <si>
    <t>Salary Paybel</t>
  </si>
  <si>
    <t>Tax Payable</t>
  </si>
  <si>
    <t>Total tax</t>
  </si>
  <si>
    <t>Account</t>
  </si>
  <si>
    <t>Merchendies</t>
  </si>
  <si>
    <t>Prepayment(short term liablity)</t>
  </si>
  <si>
    <t>Sales Tax payment</t>
  </si>
  <si>
    <t>Cash received</t>
  </si>
  <si>
    <t>Sales</t>
  </si>
  <si>
    <t>CASH</t>
  </si>
  <si>
    <t>LOAN</t>
  </si>
  <si>
    <t>Interest exp</t>
  </si>
  <si>
    <t>Loan</t>
  </si>
  <si>
    <t>Outsanding payable</t>
  </si>
  <si>
    <t>1)</t>
  </si>
  <si>
    <t>Openig balance</t>
  </si>
  <si>
    <t>Payable</t>
  </si>
  <si>
    <t>Slaes tax</t>
  </si>
  <si>
    <t>Unearned Revnue</t>
  </si>
  <si>
    <t xml:space="preserve">During Period </t>
  </si>
  <si>
    <t>ACCOUNT PAYABLE</t>
  </si>
  <si>
    <t>SALES TAX EXP</t>
  </si>
  <si>
    <t xml:space="preserve">Warrenty </t>
  </si>
  <si>
    <t xml:space="preserve">Warrenty Expense </t>
  </si>
  <si>
    <t xml:space="preserve">Contigent Liablity </t>
  </si>
  <si>
    <t>Balance Sheet</t>
  </si>
  <si>
    <t>Merchandies</t>
  </si>
  <si>
    <t>Paybale</t>
  </si>
  <si>
    <t>Merchandies Payable</t>
  </si>
  <si>
    <t>Inetrest Exp</t>
  </si>
  <si>
    <t>March</t>
  </si>
  <si>
    <t>April</t>
  </si>
  <si>
    <t>July</t>
  </si>
  <si>
    <t>Purchase Equipment</t>
  </si>
  <si>
    <t>cash paid</t>
  </si>
  <si>
    <t>loan notes</t>
  </si>
  <si>
    <t xml:space="preserve">loan </t>
  </si>
  <si>
    <t>Note-Payable</t>
  </si>
  <si>
    <t>Total Interest Expense For the year</t>
  </si>
  <si>
    <t xml:space="preserve">Summery of Payroll Expenses </t>
  </si>
  <si>
    <t>ACCOUNT</t>
  </si>
  <si>
    <t>DEPRECIATION</t>
  </si>
  <si>
    <t>ACC DEPRECIATION</t>
  </si>
  <si>
    <t>EQUIPMENT</t>
  </si>
  <si>
    <t xml:space="preserve">BUILDING </t>
  </si>
  <si>
    <t>Land</t>
  </si>
  <si>
    <t>cash</t>
  </si>
  <si>
    <t>acc depreciation</t>
  </si>
  <si>
    <t>equipment</t>
  </si>
  <si>
    <t>gain on disposal</t>
  </si>
  <si>
    <t>land</t>
  </si>
  <si>
    <t>gain</t>
  </si>
  <si>
    <t>31-12-2021</t>
  </si>
  <si>
    <t>Balance sheet</t>
  </si>
  <si>
    <t>building</t>
  </si>
  <si>
    <t>Equipment</t>
  </si>
  <si>
    <t>legal cost</t>
  </si>
  <si>
    <t xml:space="preserve">Patent asset </t>
  </si>
  <si>
    <t>adv exp</t>
  </si>
  <si>
    <t>frenchise</t>
  </si>
  <si>
    <t>amortizing exp</t>
  </si>
  <si>
    <t>acc amortization</t>
  </si>
  <si>
    <t>(patent)</t>
  </si>
  <si>
    <t>admin salary</t>
  </si>
  <si>
    <t>bank</t>
  </si>
  <si>
    <t>electric salary</t>
  </si>
  <si>
    <t>FICA tax exp</t>
  </si>
  <si>
    <t>payable</t>
  </si>
  <si>
    <t>fedral income tax</t>
  </si>
  <si>
    <t>state income tax</t>
  </si>
  <si>
    <t>United fund contribution</t>
  </si>
  <si>
    <t>Health insurance</t>
  </si>
  <si>
    <t>Maria sandoval</t>
  </si>
  <si>
    <t>wages</t>
  </si>
  <si>
    <t>fedral tax</t>
  </si>
  <si>
    <t>stateincome tax</t>
  </si>
  <si>
    <t>FICA TAX</t>
  </si>
  <si>
    <t>FICA WAGES</t>
  </si>
  <si>
    <t>jeneffir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</si>
</sst>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Modern No. 20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1" applyNumberFormat="1" applyFont="1"/>
    <xf numFmtId="9" fontId="0" fillId="0" borderId="0" xfId="0" applyNumberFormat="1"/>
    <xf numFmtId="0" fontId="0" fillId="2" borderId="0" xfId="0" applyFill="1"/>
    <xf numFmtId="166" fontId="0" fillId="0" borderId="0" xfId="2" applyNumberFormat="1" applyFont="1"/>
    <xf numFmtId="0" fontId="0" fillId="2" borderId="0" xfId="0" applyFill="1" applyAlignment="1">
      <alignment wrapText="1"/>
    </xf>
    <xf numFmtId="166" fontId="0" fillId="0" borderId="0" xfId="0" applyNumberFormat="1"/>
    <xf numFmtId="166" fontId="2" fillId="0" borderId="0" xfId="0" applyNumberFormat="1" applyFont="1"/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3" fontId="0" fillId="0" borderId="0" xfId="0" applyNumberFormat="1"/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Fill="1" applyAlignment="1">
      <alignment horizontal="right"/>
    </xf>
    <xf numFmtId="166" fontId="3" fillId="0" borderId="0" xfId="0" applyNumberFormat="1" applyFont="1"/>
    <xf numFmtId="166" fontId="2" fillId="0" borderId="0" xfId="2" applyNumberFormat="1" applyFont="1"/>
    <xf numFmtId="44" fontId="2" fillId="0" borderId="0" xfId="2" applyFo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horizontal="left" vertical="top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15" fontId="2" fillId="0" borderId="0" xfId="0" applyNumberFormat="1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vertical="center"/>
    </xf>
    <xf numFmtId="166" fontId="2" fillId="0" borderId="1" xfId="2" applyNumberFormat="1" applyFont="1" applyBorder="1"/>
    <xf numFmtId="0" fontId="2" fillId="0" borderId="1" xfId="0" applyFont="1" applyBorder="1"/>
    <xf numFmtId="44" fontId="2" fillId="0" borderId="1" xfId="2" applyNumberFormat="1" applyFont="1" applyBorder="1"/>
    <xf numFmtId="0" fontId="0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44" fontId="0" fillId="0" borderId="0" xfId="2" applyFont="1"/>
    <xf numFmtId="44" fontId="0" fillId="0" borderId="0" xfId="0" applyNumberFormat="1"/>
    <xf numFmtId="0" fontId="0" fillId="0" borderId="0" xfId="0" applyAlignment="1"/>
    <xf numFmtId="0" fontId="0" fillId="2" borderId="0" xfId="0" applyFill="1" applyAlignment="1">
      <alignment horizontal="center"/>
    </xf>
    <xf numFmtId="16" fontId="0" fillId="0" borderId="0" xfId="0" applyNumberFormat="1"/>
    <xf numFmtId="166" fontId="5" fillId="0" borderId="0" xfId="0" applyNumberFormat="1" applyFont="1"/>
    <xf numFmtId="15" fontId="0" fillId="0" borderId="0" xfId="0" applyNumberFormat="1"/>
    <xf numFmtId="0" fontId="0" fillId="3" borderId="0" xfId="0" applyFill="1"/>
    <xf numFmtId="14" fontId="0" fillId="0" borderId="0" xfId="0" applyNumberForma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showGridLines="0"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44.7109375" style="27" customWidth="1"/>
    <col min="2" max="2" width="11.42578125" customWidth="1"/>
    <col min="3" max="3" width="20.7109375" customWidth="1"/>
    <col min="4" max="4" width="29.140625" customWidth="1"/>
    <col min="5" max="5" width="26.7109375" customWidth="1"/>
    <col min="6" max="6" width="14.28515625" bestFit="1" customWidth="1"/>
  </cols>
  <sheetData>
    <row r="1" spans="1:4" ht="33.75" customHeight="1" x14ac:dyDescent="0.25">
      <c r="A1" s="26"/>
      <c r="B1" s="1" t="s">
        <v>0</v>
      </c>
    </row>
    <row r="2" spans="1:4" ht="33.75" customHeight="1" x14ac:dyDescent="0.25">
      <c r="B2" s="1"/>
    </row>
    <row r="3" spans="1:4" ht="33.75" customHeight="1" x14ac:dyDescent="0.25">
      <c r="B3" s="1" t="s">
        <v>7</v>
      </c>
      <c r="C3" s="3" t="s">
        <v>8</v>
      </c>
      <c r="D3" s="1" t="s">
        <v>1</v>
      </c>
    </row>
    <row r="4" spans="1:4" ht="33.75" customHeight="1" x14ac:dyDescent="0.25">
      <c r="C4" t="s">
        <v>2</v>
      </c>
      <c r="D4" s="4">
        <v>81000</v>
      </c>
    </row>
    <row r="5" spans="1:4" ht="33.75" customHeight="1" x14ac:dyDescent="0.25">
      <c r="C5" t="s">
        <v>3</v>
      </c>
      <c r="D5" s="4">
        <v>4600</v>
      </c>
    </row>
    <row r="6" spans="1:4" ht="33.75" customHeight="1" x14ac:dyDescent="0.25">
      <c r="C6" t="s">
        <v>4</v>
      </c>
      <c r="D6" s="4">
        <v>5000</v>
      </c>
    </row>
    <row r="7" spans="1:4" ht="33.75" customHeight="1" x14ac:dyDescent="0.25">
      <c r="C7" t="s">
        <v>5</v>
      </c>
      <c r="D7" s="4">
        <v>2400</v>
      </c>
    </row>
    <row r="8" spans="1:4" ht="33.75" customHeight="1" x14ac:dyDescent="0.25">
      <c r="C8" t="s">
        <v>6</v>
      </c>
      <c r="D8" s="4">
        <v>3200</v>
      </c>
    </row>
    <row r="9" spans="1:4" ht="33.75" customHeight="1" x14ac:dyDescent="0.25">
      <c r="D9" s="4"/>
    </row>
    <row r="10" spans="1:4" ht="33.75" customHeight="1" x14ac:dyDescent="0.25">
      <c r="C10" s="1" t="s">
        <v>9</v>
      </c>
      <c r="D10" s="4">
        <f>SUM(D4:D9)</f>
        <v>96200</v>
      </c>
    </row>
    <row r="13" spans="1:4" x14ac:dyDescent="0.25">
      <c r="A13" s="26"/>
    </row>
    <row r="31" spans="1:1" x14ac:dyDescent="0.25">
      <c r="A31" s="26"/>
    </row>
    <row r="49" spans="1:1" x14ac:dyDescent="0.25">
      <c r="A49" s="26"/>
    </row>
    <row r="61" spans="1:1" x14ac:dyDescent="0.25">
      <c r="A61" s="26"/>
    </row>
    <row r="91" spans="1:1" x14ac:dyDescent="0.25">
      <c r="A91" s="26"/>
    </row>
    <row r="108" spans="1:1" x14ac:dyDescent="0.25">
      <c r="A108" s="26"/>
    </row>
    <row r="129" spans="1:1" x14ac:dyDescent="0.25">
      <c r="A129" s="26"/>
    </row>
    <row r="157" spans="1:1" x14ac:dyDescent="0.25">
      <c r="A157" s="26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="112" zoomScaleNormal="100" zoomScaleSheetLayoutView="112" workbookViewId="0">
      <selection activeCell="J18" sqref="J18"/>
    </sheetView>
  </sheetViews>
  <sheetFormatPr defaultRowHeight="15" x14ac:dyDescent="0.25"/>
  <cols>
    <col min="3" max="3" width="11.7109375" bestFit="1" customWidth="1"/>
    <col min="4" max="4" width="26" bestFit="1" customWidth="1"/>
    <col min="5" max="6" width="10" bestFit="1" customWidth="1"/>
  </cols>
  <sheetData>
    <row r="1" spans="2:6" ht="15.75" x14ac:dyDescent="0.25">
      <c r="B1" s="14" t="s">
        <v>117</v>
      </c>
    </row>
    <row r="3" spans="2:6" x14ac:dyDescent="0.25">
      <c r="B3" s="1" t="s">
        <v>69</v>
      </c>
      <c r="C3" s="1" t="s">
        <v>84</v>
      </c>
      <c r="D3" s="1" t="s">
        <v>89</v>
      </c>
      <c r="E3" s="1" t="s">
        <v>81</v>
      </c>
      <c r="F3" s="1" t="s">
        <v>82</v>
      </c>
    </row>
    <row r="4" spans="2:6" x14ac:dyDescent="0.25">
      <c r="B4" s="1"/>
      <c r="C4" s="29" t="s">
        <v>118</v>
      </c>
      <c r="D4" t="s">
        <v>42</v>
      </c>
      <c r="E4" s="7">
        <v>460000</v>
      </c>
      <c r="F4" s="7"/>
    </row>
    <row r="5" spans="2:6" x14ac:dyDescent="0.25">
      <c r="B5" s="1"/>
      <c r="D5" s="36" t="s">
        <v>119</v>
      </c>
      <c r="E5" s="7"/>
      <c r="F5" s="7">
        <v>460000</v>
      </c>
    </row>
    <row r="6" spans="2:6" x14ac:dyDescent="0.25">
      <c r="B6" s="1"/>
      <c r="E6" s="7"/>
      <c r="F6" s="7"/>
    </row>
    <row r="7" spans="2:6" x14ac:dyDescent="0.25">
      <c r="B7" s="1" t="s">
        <v>111</v>
      </c>
      <c r="C7" s="1" t="s">
        <v>120</v>
      </c>
      <c r="D7" t="s">
        <v>76</v>
      </c>
      <c r="E7" s="7">
        <v>3450</v>
      </c>
      <c r="F7" s="7"/>
    </row>
    <row r="8" spans="2:6" x14ac:dyDescent="0.25">
      <c r="B8" s="1"/>
      <c r="D8" t="s">
        <v>91</v>
      </c>
      <c r="E8" s="7"/>
      <c r="F8" s="7">
        <v>3450</v>
      </c>
    </row>
    <row r="9" spans="2:6" x14ac:dyDescent="0.25">
      <c r="B9" s="1"/>
      <c r="E9" s="7"/>
      <c r="F9" s="7"/>
    </row>
    <row r="10" spans="2:6" x14ac:dyDescent="0.25">
      <c r="B10" s="1" t="s">
        <v>110</v>
      </c>
      <c r="C10" s="29" t="s">
        <v>121</v>
      </c>
      <c r="D10" t="s">
        <v>91</v>
      </c>
      <c r="E10" s="7">
        <v>41400</v>
      </c>
      <c r="F10" s="7"/>
    </row>
    <row r="11" spans="2:6" x14ac:dyDescent="0.25">
      <c r="B11" s="1"/>
      <c r="D11" t="s">
        <v>42</v>
      </c>
      <c r="E11" s="7"/>
      <c r="F11" s="7">
        <v>41400</v>
      </c>
    </row>
    <row r="12" spans="2:6" x14ac:dyDescent="0.25">
      <c r="B12" s="1"/>
      <c r="E12" s="7"/>
      <c r="F12" s="7"/>
    </row>
    <row r="13" spans="2:6" x14ac:dyDescent="0.25">
      <c r="B13" s="1" t="s">
        <v>112</v>
      </c>
      <c r="C13" s="29" t="s">
        <v>122</v>
      </c>
      <c r="D13" t="s">
        <v>119</v>
      </c>
      <c r="E13" s="7">
        <v>460000</v>
      </c>
      <c r="F13" s="7"/>
    </row>
    <row r="14" spans="2:6" x14ac:dyDescent="0.25">
      <c r="D14" t="s">
        <v>42</v>
      </c>
      <c r="E14" s="7"/>
      <c r="F14" s="7">
        <v>460000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="96" zoomScaleNormal="100" zoomScaleSheetLayoutView="96" workbookViewId="0">
      <selection activeCell="A7" sqref="A7"/>
    </sheetView>
  </sheetViews>
  <sheetFormatPr defaultRowHeight="15" x14ac:dyDescent="0.25"/>
  <cols>
    <col min="2" max="2" width="11.42578125" bestFit="1" customWidth="1"/>
    <col min="3" max="3" width="35.7109375" customWidth="1"/>
    <col min="4" max="4" width="14.140625" bestFit="1" customWidth="1"/>
    <col min="5" max="5" width="13.7109375" bestFit="1" customWidth="1"/>
    <col min="11" max="14" width="11.85546875" bestFit="1" customWidth="1"/>
  </cols>
  <sheetData>
    <row r="1" spans="2:14" x14ac:dyDescent="0.25">
      <c r="B1" t="s">
        <v>179</v>
      </c>
      <c r="C1" t="s">
        <v>182</v>
      </c>
      <c r="D1" t="s">
        <v>180</v>
      </c>
      <c r="E1" t="s">
        <v>181</v>
      </c>
    </row>
    <row r="2" spans="2:14" x14ac:dyDescent="0.25">
      <c r="C2" t="s">
        <v>183</v>
      </c>
      <c r="D2" s="38">
        <v>670000</v>
      </c>
    </row>
    <row r="3" spans="2:14" x14ac:dyDescent="0.25">
      <c r="C3" t="s">
        <v>76</v>
      </c>
      <c r="D3" s="39">
        <f>740000*0.391</f>
        <v>289340</v>
      </c>
      <c r="E3" s="38"/>
      <c r="K3" s="38"/>
      <c r="L3" s="39"/>
      <c r="M3" s="39"/>
      <c r="N3" s="39"/>
    </row>
    <row r="4" spans="2:14" x14ac:dyDescent="0.25">
      <c r="C4" t="s">
        <v>184</v>
      </c>
      <c r="E4" s="38">
        <f>D2+D3</f>
        <v>959340</v>
      </c>
      <c r="K4" s="38"/>
      <c r="L4" s="39"/>
      <c r="M4" s="39"/>
      <c r="N4" s="39"/>
    </row>
    <row r="5" spans="2:14" x14ac:dyDescent="0.25">
      <c r="K5" s="38"/>
      <c r="L5" s="39"/>
      <c r="M5" s="39"/>
      <c r="N5" s="39"/>
    </row>
    <row r="6" spans="2:14" x14ac:dyDescent="0.25">
      <c r="E6" s="38"/>
      <c r="K6" s="38"/>
      <c r="L6" s="39"/>
      <c r="M6" s="39"/>
      <c r="N6" s="39"/>
    </row>
    <row r="7" spans="2:14" x14ac:dyDescent="0.25">
      <c r="B7" t="s">
        <v>189</v>
      </c>
      <c r="C7" t="s">
        <v>190</v>
      </c>
      <c r="D7" s="38">
        <f>E4*11</f>
        <v>10552740</v>
      </c>
      <c r="K7" s="38"/>
      <c r="L7" s="39"/>
      <c r="M7" s="39"/>
      <c r="N7" s="39"/>
    </row>
    <row r="8" spans="2:14" x14ac:dyDescent="0.25">
      <c r="C8" t="s">
        <v>191</v>
      </c>
      <c r="E8" s="38">
        <f>D7</f>
        <v>10552740</v>
      </c>
      <c r="K8" s="38"/>
      <c r="L8" s="39"/>
      <c r="M8" s="39"/>
      <c r="N8" s="39"/>
    </row>
    <row r="9" spans="2:14" x14ac:dyDescent="0.25">
      <c r="K9" s="38"/>
      <c r="L9" s="39"/>
      <c r="M9" s="39"/>
      <c r="N9" s="39"/>
    </row>
    <row r="10" spans="2:14" x14ac:dyDescent="0.25">
      <c r="K10" s="38"/>
      <c r="L10" s="39"/>
      <c r="M10" s="39"/>
      <c r="N10" s="39"/>
    </row>
    <row r="11" spans="2:14" x14ac:dyDescent="0.25">
      <c r="K11" s="38"/>
      <c r="L11" s="39"/>
      <c r="M11" s="39"/>
      <c r="N11" s="39"/>
    </row>
    <row r="12" spans="2:14" x14ac:dyDescent="0.25">
      <c r="B12" t="s">
        <v>193</v>
      </c>
      <c r="C12" t="s">
        <v>194</v>
      </c>
      <c r="D12" s="38">
        <v>740000</v>
      </c>
      <c r="E12" s="38"/>
      <c r="F12" s="38"/>
      <c r="K12" s="38"/>
      <c r="L12" s="39"/>
      <c r="M12" s="39"/>
      <c r="N12" s="39"/>
    </row>
    <row r="13" spans="2:14" x14ac:dyDescent="0.25">
      <c r="C13" t="s">
        <v>42</v>
      </c>
      <c r="D13" s="38"/>
      <c r="E13" s="38">
        <v>740000</v>
      </c>
      <c r="F13" s="38"/>
    </row>
    <row r="14" spans="2:14" x14ac:dyDescent="0.25">
      <c r="D14" s="38"/>
      <c r="E14" s="38"/>
      <c r="F14" s="3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5"/>
  <sheetViews>
    <sheetView view="pageBreakPreview" zoomScale="118" zoomScaleNormal="100" zoomScaleSheetLayoutView="118" workbookViewId="0">
      <selection activeCell="D16" sqref="D16"/>
    </sheetView>
  </sheetViews>
  <sheetFormatPr defaultRowHeight="15" x14ac:dyDescent="0.25"/>
  <cols>
    <col min="4" max="4" width="55.140625" bestFit="1" customWidth="1"/>
    <col min="5" max="5" width="42.5703125" bestFit="1" customWidth="1"/>
  </cols>
  <sheetData>
    <row r="1" spans="3:7" x14ac:dyDescent="0.25">
      <c r="D1" s="1" t="s">
        <v>126</v>
      </c>
    </row>
    <row r="3" spans="3:7" x14ac:dyDescent="0.25">
      <c r="C3" t="s">
        <v>69</v>
      </c>
      <c r="D3" s="1" t="s">
        <v>127</v>
      </c>
    </row>
    <row r="5" spans="3:7" x14ac:dyDescent="0.25">
      <c r="D5" t="s">
        <v>128</v>
      </c>
      <c r="E5" s="6" t="s">
        <v>129</v>
      </c>
      <c r="F5">
        <f>26000+34500+30000</f>
        <v>90500</v>
      </c>
    </row>
    <row r="6" spans="3:7" x14ac:dyDescent="0.25">
      <c r="D6" t="s">
        <v>130</v>
      </c>
      <c r="F6">
        <v>8500</v>
      </c>
    </row>
    <row r="7" spans="3:7" x14ac:dyDescent="0.25">
      <c r="D7" t="s">
        <v>131</v>
      </c>
      <c r="F7">
        <v>92500</v>
      </c>
    </row>
    <row r="9" spans="3:7" ht="15.75" thickBot="1" x14ac:dyDescent="0.3">
      <c r="D9" s="31" t="s">
        <v>22</v>
      </c>
      <c r="E9" s="6" t="s">
        <v>133</v>
      </c>
      <c r="F9" s="34">
        <v>0.92</v>
      </c>
      <c r="G9" s="1" t="s">
        <v>134</v>
      </c>
    </row>
    <row r="10" spans="3:7" ht="30.75" thickTop="1" x14ac:dyDescent="0.25">
      <c r="E10" s="30" t="s">
        <v>132</v>
      </c>
    </row>
    <row r="12" spans="3:7" x14ac:dyDescent="0.25">
      <c r="C12" t="s">
        <v>111</v>
      </c>
      <c r="D12" s="1" t="s">
        <v>135</v>
      </c>
    </row>
    <row r="14" spans="3:7" x14ac:dyDescent="0.25">
      <c r="D14" s="1" t="s">
        <v>136</v>
      </c>
    </row>
    <row r="15" spans="3:7" ht="15.75" thickBot="1" x14ac:dyDescent="0.3">
      <c r="D15" s="1" t="s">
        <v>137</v>
      </c>
      <c r="E15" s="6" t="s">
        <v>138</v>
      </c>
      <c r="F15" s="32">
        <v>69900</v>
      </c>
    </row>
    <row r="16" spans="3:7" ht="30.75" thickTop="1" x14ac:dyDescent="0.25">
      <c r="D16" s="1" t="s">
        <v>141</v>
      </c>
      <c r="E16" s="30" t="s">
        <v>139</v>
      </c>
    </row>
    <row r="19" spans="4:6" x14ac:dyDescent="0.25">
      <c r="D19" s="1" t="s">
        <v>140</v>
      </c>
    </row>
    <row r="20" spans="4:6" x14ac:dyDescent="0.25">
      <c r="D20" s="1" t="s">
        <v>137</v>
      </c>
      <c r="E20" s="6" t="s">
        <v>143</v>
      </c>
    </row>
    <row r="21" spans="4:6" x14ac:dyDescent="0.25">
      <c r="D21" s="1" t="s">
        <v>142</v>
      </c>
      <c r="E21" t="s">
        <v>144</v>
      </c>
      <c r="F21" s="5">
        <v>0.5</v>
      </c>
    </row>
    <row r="22" spans="4:6" x14ac:dyDescent="0.25">
      <c r="F22" s="1" t="s">
        <v>22</v>
      </c>
    </row>
    <row r="23" spans="4:6" x14ac:dyDescent="0.25">
      <c r="D23" s="1" t="s">
        <v>145</v>
      </c>
      <c r="E23" s="6" t="s">
        <v>146</v>
      </c>
      <c r="F23" s="20">
        <v>55500</v>
      </c>
    </row>
    <row r="24" spans="4:6" x14ac:dyDescent="0.25">
      <c r="F24" s="7"/>
    </row>
    <row r="25" spans="4:6" x14ac:dyDescent="0.25">
      <c r="D25" s="1" t="s">
        <v>147</v>
      </c>
      <c r="E25" s="11" t="s">
        <v>148</v>
      </c>
      <c r="F25" s="7"/>
    </row>
    <row r="26" spans="4:6" x14ac:dyDescent="0.25">
      <c r="E26" t="s">
        <v>149</v>
      </c>
      <c r="F26" s="20">
        <v>27750</v>
      </c>
    </row>
    <row r="27" spans="4:6" x14ac:dyDescent="0.25">
      <c r="D27" s="1" t="s">
        <v>150</v>
      </c>
      <c r="E27" s="11" t="s">
        <v>151</v>
      </c>
      <c r="F27" s="7"/>
    </row>
    <row r="28" spans="4:6" x14ac:dyDescent="0.25">
      <c r="E28" t="s">
        <v>152</v>
      </c>
      <c r="F28" s="20">
        <v>13875</v>
      </c>
    </row>
    <row r="29" spans="4:6" x14ac:dyDescent="0.25">
      <c r="F29" s="7"/>
    </row>
    <row r="30" spans="4:6" ht="15.75" thickBot="1" x14ac:dyDescent="0.3">
      <c r="E30" s="33" t="s">
        <v>137</v>
      </c>
      <c r="F30" s="32">
        <f>SUM(F23:F29)</f>
        <v>97125</v>
      </c>
    </row>
    <row r="31" spans="4:6" ht="15.75" thickTop="1" x14ac:dyDescent="0.25"/>
    <row r="32" spans="4:6" x14ac:dyDescent="0.25">
      <c r="D32" s="1" t="s">
        <v>153</v>
      </c>
    </row>
    <row r="34" spans="3:6" ht="45" x14ac:dyDescent="0.25">
      <c r="D34" s="1" t="s">
        <v>137</v>
      </c>
      <c r="E34" s="30" t="s">
        <v>154</v>
      </c>
    </row>
    <row r="35" spans="3:6" ht="15.75" thickBot="1" x14ac:dyDescent="0.3">
      <c r="E35" s="6" t="s">
        <v>155</v>
      </c>
      <c r="F35" s="32">
        <v>55660</v>
      </c>
    </row>
    <row r="36" spans="3:6" ht="15.75" thickTop="1" x14ac:dyDescent="0.25"/>
    <row r="38" spans="3:6" x14ac:dyDescent="0.25">
      <c r="C38" s="1" t="s">
        <v>110</v>
      </c>
      <c r="D38" s="1" t="s">
        <v>156</v>
      </c>
    </row>
    <row r="39" spans="3:6" x14ac:dyDescent="0.25">
      <c r="D39" s="1" t="s">
        <v>145</v>
      </c>
    </row>
    <row r="40" spans="3:6" x14ac:dyDescent="0.25">
      <c r="E40" s="6" t="s">
        <v>143</v>
      </c>
    </row>
    <row r="41" spans="3:6" x14ac:dyDescent="0.25">
      <c r="E41" s="6" t="s">
        <v>157</v>
      </c>
      <c r="F41" s="20">
        <v>41625</v>
      </c>
    </row>
    <row r="43" spans="3:6" x14ac:dyDescent="0.25">
      <c r="D43" s="1" t="s">
        <v>147</v>
      </c>
    </row>
    <row r="44" spans="3:6" x14ac:dyDescent="0.25">
      <c r="E44" s="11" t="s">
        <v>148</v>
      </c>
      <c r="F44" s="20">
        <v>34687.5</v>
      </c>
    </row>
    <row r="45" spans="3:6" x14ac:dyDescent="0.25">
      <c r="E45" s="1" t="s">
        <v>158</v>
      </c>
    </row>
  </sheetData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7"/>
  <sheetViews>
    <sheetView view="pageBreakPreview" topLeftCell="A8" zoomScale="95" zoomScaleNormal="100" zoomScaleSheetLayoutView="95" workbookViewId="0">
      <selection activeCell="I9" sqref="I9"/>
    </sheetView>
  </sheetViews>
  <sheetFormatPr defaultRowHeight="15" x14ac:dyDescent="0.25"/>
  <cols>
    <col min="3" max="3" width="11.140625" bestFit="1" customWidth="1"/>
    <col min="4" max="4" width="24" customWidth="1"/>
  </cols>
  <sheetData>
    <row r="4" spans="3:9" x14ac:dyDescent="0.25">
      <c r="C4" t="s">
        <v>185</v>
      </c>
      <c r="D4" t="s">
        <v>258</v>
      </c>
      <c r="E4" t="s">
        <v>216</v>
      </c>
      <c r="F4" t="s">
        <v>188</v>
      </c>
      <c r="I4" t="s">
        <v>271</v>
      </c>
    </row>
    <row r="5" spans="3:9" x14ac:dyDescent="0.25">
      <c r="D5" s="49" t="s">
        <v>261</v>
      </c>
    </row>
    <row r="6" spans="3:9" x14ac:dyDescent="0.25">
      <c r="C6" s="48">
        <v>44561</v>
      </c>
      <c r="D6" t="s">
        <v>259</v>
      </c>
      <c r="E6">
        <v>4885900</v>
      </c>
      <c r="H6" t="s">
        <v>263</v>
      </c>
      <c r="I6">
        <v>5781000</v>
      </c>
    </row>
    <row r="7" spans="3:9" x14ac:dyDescent="0.25">
      <c r="D7" t="s">
        <v>260</v>
      </c>
      <c r="F7">
        <f>E6</f>
        <v>4885900</v>
      </c>
      <c r="H7" t="s">
        <v>272</v>
      </c>
      <c r="I7">
        <v>2821000</v>
      </c>
    </row>
    <row r="8" spans="3:9" x14ac:dyDescent="0.25">
      <c r="D8" s="49" t="s">
        <v>262</v>
      </c>
      <c r="H8" t="s">
        <v>273</v>
      </c>
      <c r="I8">
        <v>49819000</v>
      </c>
    </row>
    <row r="9" spans="3:9" x14ac:dyDescent="0.25">
      <c r="D9" t="s">
        <v>259</v>
      </c>
      <c r="E9">
        <v>564200</v>
      </c>
    </row>
    <row r="10" spans="3:9" x14ac:dyDescent="0.25">
      <c r="D10" t="s">
        <v>260</v>
      </c>
      <c r="F10">
        <f>E9</f>
        <v>564200</v>
      </c>
    </row>
    <row r="14" spans="3:9" x14ac:dyDescent="0.25">
      <c r="C14" s="50">
        <v>44200</v>
      </c>
      <c r="D14" t="s">
        <v>263</v>
      </c>
      <c r="E14">
        <v>2200000</v>
      </c>
    </row>
    <row r="15" spans="3:9" x14ac:dyDescent="0.25">
      <c r="D15" t="s">
        <v>264</v>
      </c>
      <c r="F15">
        <v>2200000</v>
      </c>
    </row>
    <row r="17" spans="3:6" x14ac:dyDescent="0.25">
      <c r="C17" s="50">
        <v>44201</v>
      </c>
      <c r="D17" t="s">
        <v>259</v>
      </c>
      <c r="E17">
        <v>28000</v>
      </c>
    </row>
    <row r="18" spans="3:6" x14ac:dyDescent="0.25">
      <c r="D18" t="s">
        <v>260</v>
      </c>
      <c r="F18">
        <f>E17</f>
        <v>28000</v>
      </c>
    </row>
    <row r="21" spans="3:6" x14ac:dyDescent="0.25">
      <c r="D21" t="s">
        <v>264</v>
      </c>
      <c r="E21">
        <v>540000</v>
      </c>
    </row>
    <row r="22" spans="3:6" x14ac:dyDescent="0.25">
      <c r="D22" t="s">
        <v>265</v>
      </c>
      <c r="E22">
        <v>364000</v>
      </c>
    </row>
    <row r="23" spans="3:6" x14ac:dyDescent="0.25">
      <c r="D23" t="s">
        <v>266</v>
      </c>
      <c r="F23">
        <v>840000</v>
      </c>
    </row>
    <row r="24" spans="3:6" x14ac:dyDescent="0.25">
      <c r="D24" t="s">
        <v>267</v>
      </c>
      <c r="F24">
        <v>64000</v>
      </c>
    </row>
    <row r="27" spans="3:6" x14ac:dyDescent="0.25">
      <c r="C27" s="50">
        <v>44202</v>
      </c>
    </row>
    <row r="28" spans="3:6" x14ac:dyDescent="0.25">
      <c r="D28" t="s">
        <v>264</v>
      </c>
      <c r="E28">
        <v>450000</v>
      </c>
    </row>
    <row r="29" spans="3:6" x14ac:dyDescent="0.25">
      <c r="D29" t="s">
        <v>268</v>
      </c>
      <c r="F29">
        <v>399000</v>
      </c>
    </row>
    <row r="30" spans="3:6" x14ac:dyDescent="0.25">
      <c r="D30" t="s">
        <v>269</v>
      </c>
      <c r="F30">
        <f>E28-F29</f>
        <v>51000</v>
      </c>
    </row>
    <row r="33" spans="3:6" x14ac:dyDescent="0.25">
      <c r="C33" s="50">
        <v>44203</v>
      </c>
      <c r="D33" t="s">
        <v>266</v>
      </c>
      <c r="E33">
        <v>2480000</v>
      </c>
    </row>
    <row r="34" spans="3:6" x14ac:dyDescent="0.25">
      <c r="D34" t="s">
        <v>264</v>
      </c>
      <c r="F34">
        <f>E33</f>
        <v>2480000</v>
      </c>
    </row>
    <row r="36" spans="3:6" x14ac:dyDescent="0.25">
      <c r="C36" t="s">
        <v>270</v>
      </c>
      <c r="D36" t="s">
        <v>265</v>
      </c>
      <c r="E36">
        <v>491000</v>
      </c>
    </row>
    <row r="37" spans="3:6" x14ac:dyDescent="0.25">
      <c r="D37" t="s">
        <v>266</v>
      </c>
      <c r="F37">
        <f>E36</f>
        <v>491000</v>
      </c>
    </row>
  </sheetData>
  <pageMargins left="0.7" right="0.7" top="0.75" bottom="0.75" header="0.3" footer="0.3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view="pageBreakPreview" zoomScaleNormal="100" zoomScaleSheetLayoutView="100" workbookViewId="0">
      <selection activeCell="I18" sqref="I18"/>
    </sheetView>
  </sheetViews>
  <sheetFormatPr defaultRowHeight="15" x14ac:dyDescent="0.25"/>
  <cols>
    <col min="3" max="3" width="32.28515625" bestFit="1" customWidth="1"/>
    <col min="4" max="4" width="15.42578125" customWidth="1"/>
    <col min="5" max="5" width="11.5703125" bestFit="1" customWidth="1"/>
  </cols>
  <sheetData>
    <row r="1" spans="2:5" x14ac:dyDescent="0.25">
      <c r="B1" s="1" t="s">
        <v>159</v>
      </c>
    </row>
    <row r="3" spans="2:5" x14ac:dyDescent="0.25">
      <c r="B3" t="s">
        <v>69</v>
      </c>
      <c r="C3" s="1" t="s">
        <v>160</v>
      </c>
    </row>
    <row r="5" spans="2:5" x14ac:dyDescent="0.25">
      <c r="C5" s="1" t="s">
        <v>89</v>
      </c>
      <c r="D5" s="1" t="s">
        <v>81</v>
      </c>
      <c r="E5" s="1" t="s">
        <v>82</v>
      </c>
    </row>
    <row r="6" spans="2:5" x14ac:dyDescent="0.25">
      <c r="C6" t="s">
        <v>161</v>
      </c>
      <c r="D6" s="9">
        <v>49800</v>
      </c>
      <c r="E6" s="9"/>
    </row>
    <row r="7" spans="2:5" x14ac:dyDescent="0.25">
      <c r="C7" s="1" t="s">
        <v>162</v>
      </c>
      <c r="D7" s="9">
        <v>25900</v>
      </c>
      <c r="E7" s="9"/>
    </row>
    <row r="8" spans="2:5" x14ac:dyDescent="0.25">
      <c r="C8" t="s">
        <v>163</v>
      </c>
      <c r="D8" s="9"/>
      <c r="E8" s="9">
        <v>75700</v>
      </c>
    </row>
    <row r="11" spans="2:5" x14ac:dyDescent="0.25">
      <c r="B11" t="s">
        <v>111</v>
      </c>
      <c r="C11" s="1" t="s">
        <v>164</v>
      </c>
    </row>
    <row r="13" spans="2:5" x14ac:dyDescent="0.25">
      <c r="C13" s="1" t="s">
        <v>89</v>
      </c>
      <c r="D13" s="1" t="s">
        <v>81</v>
      </c>
      <c r="E13" s="1" t="s">
        <v>82</v>
      </c>
    </row>
    <row r="14" spans="2:5" x14ac:dyDescent="0.25">
      <c r="C14" t="s">
        <v>165</v>
      </c>
      <c r="D14" s="7">
        <v>22200</v>
      </c>
      <c r="E14" s="7"/>
    </row>
    <row r="15" spans="2:5" x14ac:dyDescent="0.25">
      <c r="C15" t="s">
        <v>161</v>
      </c>
      <c r="D15" s="7">
        <v>49800</v>
      </c>
      <c r="E15" s="7"/>
    </row>
    <row r="16" spans="2:5" x14ac:dyDescent="0.25">
      <c r="C16" s="1" t="s">
        <v>162</v>
      </c>
      <c r="D16" s="7">
        <v>3700</v>
      </c>
      <c r="E16" s="7"/>
    </row>
    <row r="17" spans="2:5" x14ac:dyDescent="0.25">
      <c r="C17" t="s">
        <v>163</v>
      </c>
      <c r="D17" s="7"/>
      <c r="E17" s="7">
        <v>75700</v>
      </c>
    </row>
    <row r="20" spans="2:5" x14ac:dyDescent="0.25">
      <c r="B20" t="s">
        <v>110</v>
      </c>
      <c r="C20" s="1" t="s">
        <v>166</v>
      </c>
    </row>
    <row r="22" spans="2:5" x14ac:dyDescent="0.25">
      <c r="C22" s="1" t="s">
        <v>89</v>
      </c>
      <c r="D22" s="1" t="s">
        <v>81</v>
      </c>
      <c r="E22" s="1" t="s">
        <v>82</v>
      </c>
    </row>
    <row r="23" spans="2:5" x14ac:dyDescent="0.25">
      <c r="C23" t="s">
        <v>165</v>
      </c>
      <c r="D23" s="9">
        <v>27200</v>
      </c>
      <c r="E23" s="9"/>
    </row>
    <row r="24" spans="2:5" x14ac:dyDescent="0.25">
      <c r="C24" t="s">
        <v>161</v>
      </c>
      <c r="D24" s="9">
        <v>49800</v>
      </c>
      <c r="E24" s="9"/>
    </row>
    <row r="25" spans="2:5" x14ac:dyDescent="0.25">
      <c r="C25" t="s">
        <v>167</v>
      </c>
      <c r="D25" s="9"/>
      <c r="E25" s="9">
        <v>1300</v>
      </c>
    </row>
    <row r="26" spans="2:5" x14ac:dyDescent="0.25">
      <c r="C26" t="s">
        <v>163</v>
      </c>
      <c r="D26" s="9"/>
      <c r="E26" s="9">
        <v>75700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8"/>
  <sheetViews>
    <sheetView view="pageBreakPreview" zoomScale="106" zoomScaleNormal="100" zoomScaleSheetLayoutView="106" workbookViewId="0">
      <selection activeCell="L18" sqref="L18"/>
    </sheetView>
  </sheetViews>
  <sheetFormatPr defaultRowHeight="15" x14ac:dyDescent="0.25"/>
  <cols>
    <col min="3" max="3" width="9.7109375" bestFit="1" customWidth="1"/>
    <col min="4" max="4" width="33.5703125" customWidth="1"/>
  </cols>
  <sheetData>
    <row r="1" spans="3:6" x14ac:dyDescent="0.25">
      <c r="C1" s="51" t="s">
        <v>185</v>
      </c>
      <c r="D1" s="51" t="s">
        <v>186</v>
      </c>
      <c r="E1" s="51" t="s">
        <v>187</v>
      </c>
      <c r="F1" s="51" t="s">
        <v>188</v>
      </c>
    </row>
    <row r="2" spans="3:6" x14ac:dyDescent="0.25">
      <c r="C2" s="50">
        <v>44228</v>
      </c>
      <c r="D2" t="s">
        <v>274</v>
      </c>
      <c r="E2">
        <v>18000</v>
      </c>
    </row>
    <row r="3" spans="3:6" x14ac:dyDescent="0.25">
      <c r="D3" t="s">
        <v>264</v>
      </c>
      <c r="F3">
        <f>E2</f>
        <v>18000</v>
      </c>
    </row>
    <row r="5" spans="3:6" x14ac:dyDescent="0.25">
      <c r="D5" t="s">
        <v>275</v>
      </c>
      <c r="E5">
        <v>130000</v>
      </c>
    </row>
    <row r="6" spans="3:6" x14ac:dyDescent="0.25">
      <c r="D6" t="s">
        <v>264</v>
      </c>
      <c r="F6">
        <v>13000</v>
      </c>
    </row>
    <row r="8" spans="3:6" x14ac:dyDescent="0.25">
      <c r="C8" s="50">
        <v>44205</v>
      </c>
      <c r="D8" t="s">
        <v>276</v>
      </c>
      <c r="E8">
        <v>45000</v>
      </c>
    </row>
    <row r="9" spans="3:6" x14ac:dyDescent="0.25">
      <c r="D9" t="s">
        <v>264</v>
      </c>
      <c r="F9">
        <f>E8</f>
        <v>45000</v>
      </c>
    </row>
    <row r="11" spans="3:6" x14ac:dyDescent="0.25">
      <c r="C11" s="50">
        <v>44206</v>
      </c>
      <c r="D11" t="s">
        <v>277</v>
      </c>
      <c r="E11">
        <v>110000</v>
      </c>
    </row>
    <row r="12" spans="3:6" x14ac:dyDescent="0.25">
      <c r="D12" t="s">
        <v>264</v>
      </c>
      <c r="F12">
        <f>E11</f>
        <v>110000</v>
      </c>
    </row>
    <row r="14" spans="3:6" x14ac:dyDescent="0.25">
      <c r="C14" t="s">
        <v>270</v>
      </c>
      <c r="D14" t="s">
        <v>278</v>
      </c>
      <c r="E14">
        <v>12500</v>
      </c>
    </row>
    <row r="15" spans="3:6" x14ac:dyDescent="0.25">
      <c r="C15" t="s">
        <v>280</v>
      </c>
      <c r="D15" t="s">
        <v>279</v>
      </c>
      <c r="F15">
        <f>E14</f>
        <v>12500</v>
      </c>
    </row>
    <row r="17" spans="3:6" x14ac:dyDescent="0.25">
      <c r="C17" t="s">
        <v>270</v>
      </c>
      <c r="D17" t="s">
        <v>278</v>
      </c>
      <c r="E17">
        <v>5950</v>
      </c>
    </row>
    <row r="18" spans="3:6" x14ac:dyDescent="0.25">
      <c r="C18" t="s">
        <v>277</v>
      </c>
      <c r="D18" t="s">
        <v>279</v>
      </c>
      <c r="F18">
        <f>E17</f>
        <v>5950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view="pageBreakPreview" zoomScaleNormal="100" zoomScaleSheetLayoutView="100" workbookViewId="0">
      <selection activeCell="J16" sqref="J16"/>
    </sheetView>
  </sheetViews>
  <sheetFormatPr defaultRowHeight="15" x14ac:dyDescent="0.25"/>
  <cols>
    <col min="2" max="2" width="23.140625" customWidth="1"/>
    <col min="3" max="4" width="11.5703125" style="9" bestFit="1" customWidth="1"/>
    <col min="7" max="7" width="18.85546875" bestFit="1" customWidth="1"/>
    <col min="8" max="8" width="12.5703125" style="9" bestFit="1" customWidth="1"/>
    <col min="9" max="9" width="12.5703125" bestFit="1" customWidth="1"/>
    <col min="12" max="12" width="14.85546875" bestFit="1" customWidth="1"/>
    <col min="13" max="13" width="17" bestFit="1" customWidth="1"/>
    <col min="14" max="14" width="12.5703125" style="9" bestFit="1" customWidth="1"/>
  </cols>
  <sheetData>
    <row r="2" spans="1:14" x14ac:dyDescent="0.25">
      <c r="A2" s="1" t="s">
        <v>84</v>
      </c>
      <c r="B2" s="1" t="s">
        <v>221</v>
      </c>
      <c r="C2" s="10" t="s">
        <v>180</v>
      </c>
      <c r="D2" s="10" t="s">
        <v>181</v>
      </c>
      <c r="F2" s="17" t="s">
        <v>232</v>
      </c>
      <c r="G2" t="s">
        <v>231</v>
      </c>
    </row>
    <row r="3" spans="1:14" x14ac:dyDescent="0.25">
      <c r="A3" s="46">
        <v>43470</v>
      </c>
      <c r="B3" t="s">
        <v>42</v>
      </c>
      <c r="C3" s="7">
        <v>20520</v>
      </c>
      <c r="D3" s="7"/>
      <c r="F3" s="1" t="s">
        <v>84</v>
      </c>
      <c r="G3" s="1" t="s">
        <v>221</v>
      </c>
      <c r="H3" s="10" t="s">
        <v>180</v>
      </c>
      <c r="I3" s="1" t="s">
        <v>181</v>
      </c>
    </row>
    <row r="4" spans="1:14" x14ac:dyDescent="0.25">
      <c r="B4" t="s">
        <v>222</v>
      </c>
      <c r="C4" s="7">
        <f>C3-D5</f>
        <v>18878.400000000001</v>
      </c>
      <c r="D4" s="7"/>
      <c r="F4" s="46">
        <v>43496</v>
      </c>
      <c r="G4" t="s">
        <v>239</v>
      </c>
      <c r="H4" s="7">
        <f>I6-H5</f>
        <v>84567.840000000011</v>
      </c>
      <c r="I4" s="42"/>
    </row>
    <row r="5" spans="1:14" x14ac:dyDescent="0.25">
      <c r="B5" t="s">
        <v>219</v>
      </c>
      <c r="C5" s="7"/>
      <c r="D5" s="7">
        <f>C3*0.08</f>
        <v>1641.6000000000001</v>
      </c>
      <c r="G5" t="str">
        <f>M12</f>
        <v>Unearned Revnue</v>
      </c>
      <c r="H5" s="7">
        <f>N12+N13</f>
        <v>26500</v>
      </c>
      <c r="I5" s="42"/>
    </row>
    <row r="6" spans="1:14" x14ac:dyDescent="0.25">
      <c r="C6" s="7"/>
      <c r="D6" s="7"/>
      <c r="G6" t="s">
        <v>238</v>
      </c>
      <c r="H6" s="7"/>
      <c r="I6" s="42">
        <f>N21</f>
        <v>111067.84000000001</v>
      </c>
    </row>
    <row r="7" spans="1:14" x14ac:dyDescent="0.25">
      <c r="A7" s="46">
        <v>43477</v>
      </c>
      <c r="B7" t="s">
        <v>42</v>
      </c>
      <c r="C7" s="7">
        <v>10000</v>
      </c>
      <c r="D7" s="7"/>
      <c r="H7" s="7"/>
      <c r="I7" s="42"/>
    </row>
    <row r="8" spans="1:14" x14ac:dyDescent="0.25">
      <c r="B8" t="s">
        <v>223</v>
      </c>
      <c r="C8" s="7"/>
      <c r="D8" s="7">
        <f>C7</f>
        <v>10000</v>
      </c>
      <c r="H8" s="7"/>
      <c r="I8" s="42"/>
    </row>
    <row r="9" spans="1:14" x14ac:dyDescent="0.25">
      <c r="C9" s="7"/>
      <c r="D9" s="7"/>
      <c r="G9" t="s">
        <v>240</v>
      </c>
      <c r="H9" s="7"/>
      <c r="I9" s="42"/>
      <c r="L9" t="s">
        <v>233</v>
      </c>
      <c r="N9" s="7"/>
    </row>
    <row r="10" spans="1:14" x14ac:dyDescent="0.25">
      <c r="C10" s="7"/>
      <c r="D10" s="7"/>
      <c r="F10" s="1" t="s">
        <v>84</v>
      </c>
      <c r="G10" s="1" t="s">
        <v>221</v>
      </c>
      <c r="H10" s="20" t="s">
        <v>180</v>
      </c>
      <c r="I10" s="21" t="s">
        <v>181</v>
      </c>
      <c r="M10" t="s">
        <v>234</v>
      </c>
      <c r="N10" s="7">
        <v>51000</v>
      </c>
    </row>
    <row r="11" spans="1:14" x14ac:dyDescent="0.25">
      <c r="A11" s="46">
        <v>43479</v>
      </c>
      <c r="B11" t="s">
        <v>224</v>
      </c>
      <c r="C11" s="7">
        <v>9000</v>
      </c>
      <c r="D11" s="7"/>
      <c r="F11" s="46">
        <v>43496</v>
      </c>
      <c r="G11" t="s">
        <v>241</v>
      </c>
      <c r="H11" s="7">
        <f>C14*0.07</f>
        <v>3150.0000000000005</v>
      </c>
      <c r="I11" s="42"/>
      <c r="M11" t="s">
        <v>235</v>
      </c>
      <c r="N11" s="7">
        <v>9000</v>
      </c>
    </row>
    <row r="12" spans="1:14" x14ac:dyDescent="0.25">
      <c r="B12" t="s">
        <v>42</v>
      </c>
      <c r="C12" s="7"/>
      <c r="D12" s="7">
        <f>C11</f>
        <v>9000</v>
      </c>
      <c r="G12" t="s">
        <v>242</v>
      </c>
      <c r="H12" s="7"/>
      <c r="I12" s="42">
        <f>H11</f>
        <v>3150.0000000000005</v>
      </c>
      <c r="M12" t="s">
        <v>236</v>
      </c>
      <c r="N12" s="7">
        <v>16500</v>
      </c>
    </row>
    <row r="13" spans="1:14" x14ac:dyDescent="0.25">
      <c r="C13" s="7"/>
      <c r="D13" s="7"/>
      <c r="F13" s="41" t="s">
        <v>243</v>
      </c>
      <c r="G13" s="41"/>
      <c r="H13" s="41"/>
      <c r="I13" s="41"/>
      <c r="L13" t="s">
        <v>237</v>
      </c>
      <c r="N13" s="7">
        <f>D8</f>
        <v>10000</v>
      </c>
    </row>
    <row r="14" spans="1:14" x14ac:dyDescent="0.25">
      <c r="A14" s="46">
        <v>43485</v>
      </c>
      <c r="B14" t="s">
        <v>225</v>
      </c>
      <c r="C14" s="7">
        <f>900*50</f>
        <v>45000</v>
      </c>
      <c r="D14" s="7"/>
      <c r="F14" t="s">
        <v>233</v>
      </c>
      <c r="H14" s="7"/>
      <c r="N14" s="7">
        <f>D5</f>
        <v>1641.6000000000001</v>
      </c>
    </row>
    <row r="15" spans="1:14" x14ac:dyDescent="0.25">
      <c r="B15" t="s">
        <v>226</v>
      </c>
      <c r="C15" s="7"/>
      <c r="D15" s="7">
        <f>C14-D16</f>
        <v>41400</v>
      </c>
      <c r="G15" t="s">
        <v>234</v>
      </c>
      <c r="H15" s="7">
        <v>51000</v>
      </c>
      <c r="N15" s="7">
        <f>D16</f>
        <v>3600</v>
      </c>
    </row>
    <row r="16" spans="1:14" x14ac:dyDescent="0.25">
      <c r="B16" t="s">
        <v>219</v>
      </c>
      <c r="C16" s="7"/>
      <c r="D16" s="7">
        <f>C14*0.08</f>
        <v>3600</v>
      </c>
      <c r="G16" t="s">
        <v>235</v>
      </c>
      <c r="H16" s="7">
        <v>9000</v>
      </c>
      <c r="N16" s="7">
        <f>D19</f>
        <v>27000</v>
      </c>
    </row>
    <row r="17" spans="1:14" x14ac:dyDescent="0.25">
      <c r="C17" s="7"/>
      <c r="D17" s="7"/>
      <c r="G17" t="s">
        <v>236</v>
      </c>
      <c r="H17" s="7">
        <v>16500</v>
      </c>
      <c r="N17" s="7">
        <f>D22</f>
        <v>540</v>
      </c>
    </row>
    <row r="18" spans="1:14" x14ac:dyDescent="0.25">
      <c r="A18" s="46">
        <v>43486</v>
      </c>
      <c r="B18" t="s">
        <v>227</v>
      </c>
      <c r="C18" s="7">
        <v>27000</v>
      </c>
      <c r="D18" s="7"/>
      <c r="F18" t="s">
        <v>237</v>
      </c>
      <c r="H18" s="7">
        <f>N13</f>
        <v>10000</v>
      </c>
      <c r="N18" s="7">
        <f>D26</f>
        <v>786.24</v>
      </c>
    </row>
    <row r="19" spans="1:14" x14ac:dyDescent="0.25">
      <c r="B19" t="s">
        <v>228</v>
      </c>
      <c r="C19" s="7"/>
      <c r="D19" s="7">
        <v>27000</v>
      </c>
      <c r="H19" s="7">
        <f t="shared" ref="H19:H24" si="0">N14</f>
        <v>1641.6000000000001</v>
      </c>
      <c r="N19" s="7">
        <f>SUM(N10:N18)</f>
        <v>120067.84000000001</v>
      </c>
    </row>
    <row r="20" spans="1:14" x14ac:dyDescent="0.25">
      <c r="C20" s="7"/>
      <c r="D20" s="7"/>
      <c r="H20" s="7">
        <f t="shared" si="0"/>
        <v>3600</v>
      </c>
      <c r="L20" t="s">
        <v>192</v>
      </c>
      <c r="N20" s="7">
        <v>9000</v>
      </c>
    </row>
    <row r="21" spans="1:14" x14ac:dyDescent="0.25">
      <c r="B21" t="s">
        <v>229</v>
      </c>
      <c r="C21" s="7">
        <f>(C18*0.08)*3/12</f>
        <v>540</v>
      </c>
      <c r="D21" s="7"/>
      <c r="H21" s="7">
        <f t="shared" si="0"/>
        <v>27000</v>
      </c>
      <c r="N21" s="7">
        <f>N19-N20</f>
        <v>111067.84000000001</v>
      </c>
    </row>
    <row r="22" spans="1:14" x14ac:dyDescent="0.25">
      <c r="B22" t="s">
        <v>230</v>
      </c>
      <c r="C22" s="7"/>
      <c r="D22" s="7">
        <f>C21</f>
        <v>540</v>
      </c>
      <c r="H22" s="7">
        <f t="shared" si="0"/>
        <v>540</v>
      </c>
      <c r="N22" s="7"/>
    </row>
    <row r="23" spans="1:14" x14ac:dyDescent="0.25">
      <c r="C23" s="7"/>
      <c r="D23" s="7"/>
      <c r="H23" s="7">
        <f t="shared" si="0"/>
        <v>786.24</v>
      </c>
    </row>
    <row r="24" spans="1:14" x14ac:dyDescent="0.25">
      <c r="A24" s="46">
        <v>43490</v>
      </c>
      <c r="B24" t="s">
        <v>42</v>
      </c>
      <c r="C24" s="7">
        <v>9828</v>
      </c>
      <c r="D24" s="7"/>
      <c r="H24" s="7">
        <f>SUM(H15:H23)</f>
        <v>120067.84000000001</v>
      </c>
    </row>
    <row r="25" spans="1:14" x14ac:dyDescent="0.25">
      <c r="B25" t="s">
        <v>222</v>
      </c>
      <c r="C25" s="7"/>
      <c r="D25" s="7">
        <f>C24-D26</f>
        <v>9041.76</v>
      </c>
      <c r="F25" t="s">
        <v>192</v>
      </c>
      <c r="H25" s="7">
        <v>9000</v>
      </c>
    </row>
    <row r="26" spans="1:14" x14ac:dyDescent="0.25">
      <c r="B26" t="s">
        <v>219</v>
      </c>
      <c r="C26" s="7"/>
      <c r="D26" s="7">
        <f>C24*0.08</f>
        <v>786.24</v>
      </c>
      <c r="H26" s="7">
        <f>H24-H25</f>
        <v>111067.84000000001</v>
      </c>
    </row>
    <row r="27" spans="1:14" x14ac:dyDescent="0.25">
      <c r="H27" s="7"/>
    </row>
    <row r="28" spans="1:14" x14ac:dyDescent="0.25">
      <c r="H28" s="7"/>
    </row>
    <row r="29" spans="1:14" x14ac:dyDescent="0.25">
      <c r="H29" s="7"/>
    </row>
    <row r="30" spans="1:14" x14ac:dyDescent="0.25">
      <c r="H30" s="7"/>
    </row>
    <row r="31" spans="1:14" x14ac:dyDescent="0.25">
      <c r="H31" s="7"/>
    </row>
    <row r="32" spans="1:14" x14ac:dyDescent="0.25">
      <c r="H32" s="7"/>
    </row>
    <row r="33" spans="8:8" x14ac:dyDescent="0.25">
      <c r="H33" s="7"/>
    </row>
  </sheetData>
  <mergeCells count="1">
    <mergeCell ref="F13:I13"/>
  </mergeCells>
  <pageMargins left="0.7" right="0.7" top="0.75" bottom="0.75" header="0.3" footer="0.3"/>
  <pageSetup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view="pageBreakPreview" zoomScale="106" zoomScaleNormal="100" zoomScaleSheetLayoutView="106" workbookViewId="0">
      <selection activeCell="I32" sqref="I32"/>
    </sheetView>
  </sheetViews>
  <sheetFormatPr defaultRowHeight="15" x14ac:dyDescent="0.25"/>
  <cols>
    <col min="4" max="4" width="20" bestFit="1" customWidth="1"/>
    <col min="5" max="6" width="12" bestFit="1" customWidth="1"/>
    <col min="9" max="9" width="11.7109375" bestFit="1" customWidth="1"/>
  </cols>
  <sheetData>
    <row r="1" spans="3:9" x14ac:dyDescent="0.25">
      <c r="C1" s="1" t="s">
        <v>84</v>
      </c>
      <c r="D1" s="1" t="s">
        <v>221</v>
      </c>
      <c r="E1" s="1" t="s">
        <v>180</v>
      </c>
      <c r="F1" s="1" t="s">
        <v>181</v>
      </c>
    </row>
    <row r="2" spans="3:9" x14ac:dyDescent="0.25">
      <c r="C2" t="s">
        <v>195</v>
      </c>
      <c r="D2" t="s">
        <v>244</v>
      </c>
      <c r="E2" s="7">
        <v>32000</v>
      </c>
      <c r="F2" s="7"/>
    </row>
    <row r="3" spans="3:9" x14ac:dyDescent="0.25">
      <c r="D3" t="s">
        <v>245</v>
      </c>
      <c r="E3" s="7"/>
      <c r="F3" s="7">
        <f>E2</f>
        <v>32000</v>
      </c>
    </row>
    <row r="4" spans="3:9" x14ac:dyDescent="0.25">
      <c r="E4" s="7"/>
      <c r="F4" s="7"/>
      <c r="H4" t="s">
        <v>255</v>
      </c>
    </row>
    <row r="5" spans="3:9" x14ac:dyDescent="0.25">
      <c r="C5" t="s">
        <v>196</v>
      </c>
      <c r="D5" t="s">
        <v>246</v>
      </c>
      <c r="E5" s="7">
        <v>32000</v>
      </c>
      <c r="F5" s="7"/>
      <c r="I5" s="9">
        <f>F6</f>
        <v>32000</v>
      </c>
    </row>
    <row r="6" spans="3:9" x14ac:dyDescent="0.25">
      <c r="D6" t="s">
        <v>230</v>
      </c>
      <c r="E6" s="7"/>
      <c r="F6" s="7">
        <f>E5</f>
        <v>32000</v>
      </c>
      <c r="I6" s="9">
        <f>F16</f>
        <v>60000</v>
      </c>
    </row>
    <row r="7" spans="3:9" x14ac:dyDescent="0.25">
      <c r="E7" s="7"/>
      <c r="F7" s="7"/>
      <c r="I7" s="9">
        <f>F25</f>
        <v>19200</v>
      </c>
    </row>
    <row r="8" spans="3:9" x14ac:dyDescent="0.25">
      <c r="C8" t="s">
        <v>248</v>
      </c>
      <c r="D8" t="s">
        <v>247</v>
      </c>
      <c r="E8" s="7">
        <f>(E5*0.09)*2/12</f>
        <v>480</v>
      </c>
      <c r="F8" s="7"/>
      <c r="I8" s="47">
        <f>SUM(I5:I7)</f>
        <v>111200</v>
      </c>
    </row>
    <row r="9" spans="3:9" x14ac:dyDescent="0.25">
      <c r="D9" t="s">
        <v>234</v>
      </c>
      <c r="E9" s="7"/>
      <c r="F9" s="7">
        <f>E8</f>
        <v>480</v>
      </c>
    </row>
    <row r="10" spans="3:9" x14ac:dyDescent="0.25">
      <c r="E10" s="7"/>
      <c r="F10" s="7"/>
      <c r="H10" t="s">
        <v>91</v>
      </c>
    </row>
    <row r="11" spans="3:9" x14ac:dyDescent="0.25">
      <c r="C11" t="s">
        <v>249</v>
      </c>
      <c r="D11" t="str">
        <f>D9</f>
        <v>Payable</v>
      </c>
      <c r="E11" s="7">
        <f>E8</f>
        <v>480</v>
      </c>
      <c r="F11" s="7"/>
      <c r="I11" s="9">
        <f>F9</f>
        <v>480</v>
      </c>
    </row>
    <row r="12" spans="3:9" x14ac:dyDescent="0.25">
      <c r="D12" t="s">
        <v>42</v>
      </c>
      <c r="E12" s="7"/>
      <c r="F12" s="7">
        <f>E11</f>
        <v>480</v>
      </c>
      <c r="I12" s="9">
        <f>F19</f>
        <v>1500</v>
      </c>
    </row>
    <row r="13" spans="3:9" x14ac:dyDescent="0.25">
      <c r="E13" s="7"/>
      <c r="F13" s="7"/>
      <c r="I13" s="9">
        <f>F28</f>
        <v>384</v>
      </c>
    </row>
    <row r="14" spans="3:9" x14ac:dyDescent="0.25">
      <c r="C14" t="s">
        <v>250</v>
      </c>
      <c r="D14" t="s">
        <v>251</v>
      </c>
      <c r="E14" s="7">
        <v>72000</v>
      </c>
      <c r="F14" s="7"/>
      <c r="I14" s="47">
        <f>SUM(I11:I13)</f>
        <v>2364</v>
      </c>
    </row>
    <row r="15" spans="3:9" x14ac:dyDescent="0.25">
      <c r="D15" t="s">
        <v>252</v>
      </c>
      <c r="E15" s="7"/>
      <c r="F15" s="7">
        <v>12000</v>
      </c>
    </row>
    <row r="16" spans="3:9" x14ac:dyDescent="0.25">
      <c r="D16" t="s">
        <v>253</v>
      </c>
      <c r="E16" s="7"/>
      <c r="F16" s="7">
        <v>60000</v>
      </c>
    </row>
    <row r="17" spans="3:9" x14ac:dyDescent="0.25">
      <c r="E17" s="7"/>
      <c r="F17" s="7"/>
      <c r="H17" t="s">
        <v>76</v>
      </c>
    </row>
    <row r="18" spans="3:9" x14ac:dyDescent="0.25">
      <c r="C18" t="s">
        <v>197</v>
      </c>
      <c r="D18" t="s">
        <v>247</v>
      </c>
      <c r="E18" s="7">
        <f>(F16*0.1)*3/12</f>
        <v>1500</v>
      </c>
      <c r="F18" s="7"/>
      <c r="I18" s="9">
        <f>E8</f>
        <v>480</v>
      </c>
    </row>
    <row r="19" spans="3:9" x14ac:dyDescent="0.25">
      <c r="D19" t="s">
        <v>234</v>
      </c>
      <c r="E19" s="7"/>
      <c r="F19" s="7">
        <f>E18</f>
        <v>1500</v>
      </c>
      <c r="I19" s="9">
        <f>E18</f>
        <v>1500</v>
      </c>
    </row>
    <row r="20" spans="3:9" x14ac:dyDescent="0.25">
      <c r="E20" s="7"/>
      <c r="F20" s="7"/>
      <c r="I20" s="9">
        <f>E27</f>
        <v>384</v>
      </c>
    </row>
    <row r="21" spans="3:9" x14ac:dyDescent="0.25">
      <c r="C21" t="s">
        <v>198</v>
      </c>
      <c r="D21" t="str">
        <f>D19</f>
        <v>Payable</v>
      </c>
      <c r="E21" s="7">
        <f>E18</f>
        <v>1500</v>
      </c>
      <c r="F21" s="7"/>
      <c r="I21" s="47">
        <f>SUM(I18:I20)</f>
        <v>2364</v>
      </c>
    </row>
    <row r="22" spans="3:9" x14ac:dyDescent="0.25">
      <c r="D22" t="s">
        <v>42</v>
      </c>
      <c r="E22" s="7"/>
      <c r="F22" s="7">
        <f>E21</f>
        <v>1500</v>
      </c>
    </row>
    <row r="23" spans="3:9" x14ac:dyDescent="0.25">
      <c r="E23" s="7"/>
      <c r="F23" s="7"/>
    </row>
    <row r="24" spans="3:9" x14ac:dyDescent="0.25">
      <c r="C24" t="s">
        <v>199</v>
      </c>
      <c r="D24" t="s">
        <v>42</v>
      </c>
      <c r="E24" s="7">
        <v>19200</v>
      </c>
      <c r="F24" s="7"/>
      <c r="H24" t="s">
        <v>256</v>
      </c>
    </row>
    <row r="25" spans="3:9" x14ac:dyDescent="0.25">
      <c r="D25" t="s">
        <v>254</v>
      </c>
      <c r="E25" s="7"/>
      <c r="F25" s="7">
        <f>E24</f>
        <v>19200</v>
      </c>
      <c r="I25" s="9">
        <f>I21</f>
        <v>2364</v>
      </c>
    </row>
    <row r="26" spans="3:9" x14ac:dyDescent="0.25">
      <c r="E26" s="7"/>
      <c r="F26" s="7"/>
    </row>
    <row r="27" spans="3:9" x14ac:dyDescent="0.25">
      <c r="C27" t="s">
        <v>199</v>
      </c>
      <c r="D27" t="s">
        <v>247</v>
      </c>
      <c r="E27" s="7">
        <f>(E24*0.08)*3/12</f>
        <v>384</v>
      </c>
      <c r="F27" s="7"/>
    </row>
    <row r="28" spans="3:9" x14ac:dyDescent="0.25">
      <c r="D28" t="s">
        <v>234</v>
      </c>
      <c r="E28" s="7"/>
      <c r="F28" s="7">
        <f>E27</f>
        <v>384</v>
      </c>
    </row>
  </sheetData>
  <pageMargins left="0.7" right="0.7" top="0.75" bottom="0.75" header="0.3" footer="0.3"/>
  <pageSetup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4"/>
  <sheetViews>
    <sheetView view="pageBreakPreview" zoomScaleNormal="100" zoomScaleSheetLayoutView="100" workbookViewId="0">
      <selection activeCell="P18" sqref="P18"/>
    </sheetView>
  </sheetViews>
  <sheetFormatPr defaultRowHeight="15" x14ac:dyDescent="0.25"/>
  <cols>
    <col min="3" max="3" width="9.85546875" bestFit="1" customWidth="1"/>
    <col min="7" max="7" width="11.5703125" bestFit="1" customWidth="1"/>
    <col min="9" max="9" width="16.85546875" bestFit="1" customWidth="1"/>
    <col min="10" max="10" width="15.85546875" bestFit="1" customWidth="1"/>
    <col min="11" max="11" width="11.85546875" bestFit="1" customWidth="1"/>
    <col min="12" max="12" width="11.85546875" customWidth="1"/>
    <col min="13" max="13" width="10.5703125" bestFit="1" customWidth="1"/>
  </cols>
  <sheetData>
    <row r="1" spans="3:13" x14ac:dyDescent="0.25">
      <c r="E1" s="41" t="s">
        <v>210</v>
      </c>
      <c r="F1" s="41"/>
      <c r="G1" s="41"/>
      <c r="H1" s="40" t="s">
        <v>211</v>
      </c>
      <c r="I1" s="40"/>
      <c r="J1" s="40"/>
      <c r="K1" s="40"/>
      <c r="L1" s="45"/>
    </row>
    <row r="2" spans="3:13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220</v>
      </c>
      <c r="M2" t="s">
        <v>209</v>
      </c>
    </row>
    <row r="3" spans="3:13" x14ac:dyDescent="0.25">
      <c r="C3" t="s">
        <v>212</v>
      </c>
      <c r="D3" s="42">
        <v>40</v>
      </c>
      <c r="E3" s="42">
        <v>15</v>
      </c>
      <c r="F3" s="42">
        <v>0</v>
      </c>
      <c r="G3" s="42">
        <f>D3*E3</f>
        <v>600</v>
      </c>
      <c r="H3" s="42">
        <f>G3*0.0765</f>
        <v>45.9</v>
      </c>
      <c r="I3" s="42">
        <f>G3*0.08%</f>
        <v>0.48000000000000004</v>
      </c>
      <c r="J3" s="42">
        <f>G3*3%</f>
        <v>18</v>
      </c>
      <c r="K3" s="42">
        <v>5</v>
      </c>
      <c r="L3" s="42">
        <f>SUM(H3:K3)</f>
        <v>69.38</v>
      </c>
      <c r="M3" s="42">
        <f>G3-SUM(H3:K3)</f>
        <v>530.62</v>
      </c>
    </row>
    <row r="4" spans="3:13" x14ac:dyDescent="0.25">
      <c r="C4" t="s">
        <v>213</v>
      </c>
      <c r="D4" s="42">
        <v>42</v>
      </c>
      <c r="E4" s="42">
        <v>16</v>
      </c>
      <c r="F4" s="42">
        <f>E4+(E4/2)</f>
        <v>24</v>
      </c>
      <c r="G4" s="42">
        <f>((D4*E4)+(D4-40)*F4)</f>
        <v>720</v>
      </c>
      <c r="H4" s="42">
        <f t="shared" ref="H4:H6" si="0">G4*0.0765</f>
        <v>55.08</v>
      </c>
      <c r="I4" s="42">
        <f t="shared" ref="I4:I6" si="1">G4*0.08%</f>
        <v>0.57600000000000007</v>
      </c>
      <c r="J4" s="42">
        <f t="shared" ref="J4:J6" si="2">G4*3%</f>
        <v>21.599999999999998</v>
      </c>
      <c r="K4" s="42">
        <v>5</v>
      </c>
      <c r="L4" s="42">
        <f t="shared" ref="L4:L7" si="3">SUM(H4:K4)</f>
        <v>82.256</v>
      </c>
      <c r="M4" s="42">
        <f t="shared" ref="M4:M6" si="4">G4-SUM(H4:K4)</f>
        <v>637.74400000000003</v>
      </c>
    </row>
    <row r="5" spans="3:13" x14ac:dyDescent="0.25">
      <c r="C5" t="s">
        <v>214</v>
      </c>
      <c r="D5" s="42">
        <v>44</v>
      </c>
      <c r="E5" s="42">
        <v>13</v>
      </c>
      <c r="F5" s="42">
        <f t="shared" ref="F5:F6" si="5">E5+(E5/2)</f>
        <v>19.5</v>
      </c>
      <c r="G5" s="42">
        <f t="shared" ref="G5:G6" si="6">((D5*E5)+(D5-40)*F5)</f>
        <v>650</v>
      </c>
      <c r="H5" s="42">
        <f t="shared" si="0"/>
        <v>49.725000000000001</v>
      </c>
      <c r="I5" s="42">
        <f t="shared" si="1"/>
        <v>0.52</v>
      </c>
      <c r="J5" s="42">
        <f t="shared" si="2"/>
        <v>19.5</v>
      </c>
      <c r="K5" s="42">
        <v>8</v>
      </c>
      <c r="L5" s="42">
        <f t="shared" si="3"/>
        <v>77.745000000000005</v>
      </c>
      <c r="M5" s="42">
        <f t="shared" si="4"/>
        <v>572.255</v>
      </c>
    </row>
    <row r="6" spans="3:13" x14ac:dyDescent="0.25">
      <c r="C6" t="s">
        <v>215</v>
      </c>
      <c r="D6" s="42">
        <v>46</v>
      </c>
      <c r="E6" s="42">
        <v>13</v>
      </c>
      <c r="F6" s="42">
        <f t="shared" si="5"/>
        <v>19.5</v>
      </c>
      <c r="G6" s="42">
        <f t="shared" si="6"/>
        <v>715</v>
      </c>
      <c r="H6" s="42">
        <f t="shared" si="0"/>
        <v>54.697499999999998</v>
      </c>
      <c r="I6" s="42">
        <f t="shared" si="1"/>
        <v>0.57200000000000006</v>
      </c>
      <c r="J6" s="42">
        <f t="shared" si="2"/>
        <v>21.45</v>
      </c>
      <c r="K6" s="42">
        <v>5</v>
      </c>
      <c r="L6" s="42">
        <f t="shared" si="3"/>
        <v>81.719499999999996</v>
      </c>
      <c r="M6" s="42">
        <f t="shared" si="4"/>
        <v>633.28049999999996</v>
      </c>
    </row>
    <row r="7" spans="3:13" x14ac:dyDescent="0.25">
      <c r="C7" t="s">
        <v>209</v>
      </c>
      <c r="D7" s="43">
        <f>SUM(D3:D6)</f>
        <v>172</v>
      </c>
      <c r="E7" s="43">
        <f t="shared" ref="E7:M7" si="7">SUM(E3:E6)</f>
        <v>57</v>
      </c>
      <c r="F7" s="43">
        <f t="shared" si="7"/>
        <v>63</v>
      </c>
      <c r="G7" s="43">
        <f t="shared" si="7"/>
        <v>2685</v>
      </c>
      <c r="H7" s="43">
        <f t="shared" si="7"/>
        <v>205.40249999999997</v>
      </c>
      <c r="I7" s="43">
        <f t="shared" si="7"/>
        <v>2.1480000000000001</v>
      </c>
      <c r="J7" s="43">
        <f t="shared" si="7"/>
        <v>80.55</v>
      </c>
      <c r="K7" s="43">
        <f t="shared" si="7"/>
        <v>23</v>
      </c>
      <c r="L7" s="42">
        <f>SUM(H7:K7)</f>
        <v>311.10049999999995</v>
      </c>
      <c r="M7" s="43">
        <f t="shared" si="7"/>
        <v>2373.8995</v>
      </c>
    </row>
    <row r="10" spans="3:13" s="2" customFormat="1" x14ac:dyDescent="0.25"/>
    <row r="11" spans="3:13" x14ac:dyDescent="0.25">
      <c r="I11" t="s">
        <v>216</v>
      </c>
      <c r="J11" t="s">
        <v>188</v>
      </c>
    </row>
    <row r="12" spans="3:13" x14ac:dyDescent="0.25">
      <c r="G12" s="44" t="s">
        <v>217</v>
      </c>
      <c r="I12" s="43">
        <f>G7</f>
        <v>2685</v>
      </c>
    </row>
    <row r="13" spans="3:13" x14ac:dyDescent="0.25">
      <c r="G13" t="s">
        <v>218</v>
      </c>
      <c r="J13" s="43">
        <f>I12-J14</f>
        <v>2373.8995</v>
      </c>
    </row>
    <row r="14" spans="3:13" x14ac:dyDescent="0.25">
      <c r="G14" t="s">
        <v>219</v>
      </c>
      <c r="J14" s="43">
        <f>L7</f>
        <v>311.10049999999995</v>
      </c>
    </row>
  </sheetData>
  <mergeCells count="2">
    <mergeCell ref="E1:G1"/>
    <mergeCell ref="H1:K1"/>
  </mergeCells>
  <pageMargins left="0.7" right="0.7" top="0.75" bottom="0.7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view="pageBreakPreview" zoomScale="106" zoomScaleNormal="100" zoomScaleSheetLayoutView="106" workbookViewId="0">
      <selection sqref="A1:XFD3"/>
    </sheetView>
  </sheetViews>
  <sheetFormatPr defaultRowHeight="15" x14ac:dyDescent="0.25"/>
  <cols>
    <col min="3" max="3" width="15.5703125" bestFit="1" customWidth="1"/>
    <col min="4" max="4" width="13.28515625" bestFit="1" customWidth="1"/>
    <col min="5" max="5" width="10.140625" bestFit="1" customWidth="1"/>
    <col min="6" max="6" width="9.85546875" customWidth="1"/>
    <col min="7" max="7" width="16.28515625" bestFit="1" customWidth="1"/>
  </cols>
  <sheetData>
    <row r="1" spans="2:7" x14ac:dyDescent="0.25">
      <c r="B1" s="1" t="s">
        <v>257</v>
      </c>
    </row>
    <row r="2" spans="2:7" x14ac:dyDescent="0.25">
      <c r="D2" s="44"/>
      <c r="E2" s="44" t="s">
        <v>180</v>
      </c>
      <c r="F2" s="44" t="s">
        <v>181</v>
      </c>
      <c r="G2" s="44"/>
    </row>
    <row r="3" spans="2:7" x14ac:dyDescent="0.25">
      <c r="C3" t="s">
        <v>69</v>
      </c>
      <c r="D3" s="1" t="s">
        <v>281</v>
      </c>
      <c r="E3" s="1">
        <v>160000</v>
      </c>
      <c r="F3" s="1"/>
      <c r="G3" s="1"/>
    </row>
    <row r="4" spans="2:7" x14ac:dyDescent="0.25">
      <c r="D4" t="s">
        <v>282</v>
      </c>
      <c r="F4">
        <f>E3</f>
        <v>160000</v>
      </c>
    </row>
    <row r="6" spans="2:7" x14ac:dyDescent="0.25">
      <c r="D6" t="s">
        <v>283</v>
      </c>
      <c r="E6">
        <v>340000</v>
      </c>
    </row>
    <row r="7" spans="2:7" x14ac:dyDescent="0.25">
      <c r="D7" t="s">
        <v>282</v>
      </c>
      <c r="F7">
        <f>E6</f>
        <v>340000</v>
      </c>
    </row>
    <row r="13" spans="2:7" x14ac:dyDescent="0.25">
      <c r="C13" t="s">
        <v>111</v>
      </c>
      <c r="D13" t="s">
        <v>284</v>
      </c>
      <c r="E13">
        <v>33290</v>
      </c>
    </row>
    <row r="14" spans="2:7" x14ac:dyDescent="0.25">
      <c r="D14" t="s">
        <v>285</v>
      </c>
      <c r="F14">
        <f>E13</f>
        <v>33290</v>
      </c>
    </row>
    <row r="16" spans="2:7" x14ac:dyDescent="0.25">
      <c r="D16" t="s">
        <v>286</v>
      </c>
      <c r="E16">
        <v>160000</v>
      </c>
    </row>
    <row r="17" spans="3:8" x14ac:dyDescent="0.25">
      <c r="D17" t="s">
        <v>285</v>
      </c>
      <c r="F17">
        <f>E16</f>
        <v>160000</v>
      </c>
    </row>
    <row r="19" spans="3:8" x14ac:dyDescent="0.25">
      <c r="D19" t="s">
        <v>287</v>
      </c>
      <c r="E19">
        <v>15000</v>
      </c>
    </row>
    <row r="20" spans="3:8" x14ac:dyDescent="0.25">
      <c r="D20" t="s">
        <v>285</v>
      </c>
      <c r="F20">
        <f>E19</f>
        <v>15000</v>
      </c>
    </row>
    <row r="22" spans="3:8" x14ac:dyDescent="0.25">
      <c r="D22" t="s">
        <v>288</v>
      </c>
      <c r="E22">
        <v>25000</v>
      </c>
    </row>
    <row r="23" spans="3:8" x14ac:dyDescent="0.25">
      <c r="D23" t="s">
        <v>285</v>
      </c>
      <c r="F23">
        <f>E22</f>
        <v>25000</v>
      </c>
    </row>
    <row r="25" spans="3:8" x14ac:dyDescent="0.25">
      <c r="D25" t="s">
        <v>289</v>
      </c>
      <c r="E25">
        <v>15000</v>
      </c>
    </row>
    <row r="26" spans="3:8" x14ac:dyDescent="0.25">
      <c r="D26" t="s">
        <v>285</v>
      </c>
      <c r="F26">
        <f>E25</f>
        <v>15000</v>
      </c>
    </row>
    <row r="30" spans="3:8" x14ac:dyDescent="0.25">
      <c r="D30" t="s">
        <v>291</v>
      </c>
      <c r="E30" t="s">
        <v>292</v>
      </c>
      <c r="F30" t="s">
        <v>293</v>
      </c>
      <c r="G30" t="s">
        <v>295</v>
      </c>
      <c r="H30" t="s">
        <v>294</v>
      </c>
    </row>
    <row r="31" spans="3:8" x14ac:dyDescent="0.25">
      <c r="C31" t="s">
        <v>290</v>
      </c>
      <c r="D31">
        <v>56000</v>
      </c>
      <c r="E31">
        <v>27440</v>
      </c>
      <c r="F31">
        <f>D31*0.03</f>
        <v>1680</v>
      </c>
      <c r="G31">
        <f>D31-E31-F31</f>
        <v>26880</v>
      </c>
      <c r="H31">
        <f>G31*0.066</f>
        <v>1774.0800000000002</v>
      </c>
    </row>
    <row r="32" spans="3:8" x14ac:dyDescent="0.25">
      <c r="C32" t="s">
        <v>296</v>
      </c>
      <c r="D32">
        <v>24000</v>
      </c>
      <c r="E32">
        <v>9360</v>
      </c>
      <c r="F32">
        <f>D32*0.03</f>
        <v>720</v>
      </c>
      <c r="G32">
        <f>D32-E32-F32</f>
        <v>13920</v>
      </c>
      <c r="H32">
        <f>G32*0.066</f>
        <v>918.72</v>
      </c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view="pageBreakPreview" zoomScale="106" zoomScaleNormal="100" zoomScaleSheetLayoutView="106" workbookViewId="0">
      <selection activeCell="D19" sqref="D19"/>
    </sheetView>
  </sheetViews>
  <sheetFormatPr defaultRowHeight="15" x14ac:dyDescent="0.25"/>
  <cols>
    <col min="2" max="2" width="18.42578125" bestFit="1" customWidth="1"/>
    <col min="3" max="3" width="32.85546875" bestFit="1" customWidth="1"/>
    <col min="4" max="4" width="10.7109375" bestFit="1" customWidth="1"/>
    <col min="5" max="5" width="15.85546875" customWidth="1"/>
  </cols>
  <sheetData>
    <row r="1" spans="2:5" x14ac:dyDescent="0.25">
      <c r="B1" s="1" t="s">
        <v>10</v>
      </c>
    </row>
    <row r="3" spans="2:5" x14ac:dyDescent="0.25">
      <c r="C3" t="s">
        <v>11</v>
      </c>
      <c r="D3" s="17" t="s">
        <v>12</v>
      </c>
    </row>
    <row r="4" spans="2:5" x14ac:dyDescent="0.25">
      <c r="C4" t="s">
        <v>13</v>
      </c>
      <c r="D4">
        <v>76000</v>
      </c>
    </row>
    <row r="5" spans="2:5" x14ac:dyDescent="0.25">
      <c r="C5" t="s">
        <v>14</v>
      </c>
      <c r="D5">
        <v>6000</v>
      </c>
    </row>
    <row r="6" spans="2:5" x14ac:dyDescent="0.25">
      <c r="C6" t="s">
        <v>15</v>
      </c>
      <c r="D6" s="5">
        <v>0.25</v>
      </c>
      <c r="E6" t="s">
        <v>16</v>
      </c>
    </row>
    <row r="7" spans="2:5" x14ac:dyDescent="0.25">
      <c r="C7" t="s">
        <v>17</v>
      </c>
      <c r="D7" s="5">
        <v>0.5</v>
      </c>
      <c r="E7" t="s">
        <v>18</v>
      </c>
    </row>
    <row r="8" spans="2:5" x14ac:dyDescent="0.25">
      <c r="B8" s="1" t="s">
        <v>19</v>
      </c>
    </row>
    <row r="9" spans="2:5" x14ac:dyDescent="0.25">
      <c r="C9" s="1" t="s">
        <v>20</v>
      </c>
      <c r="E9" s="1" t="s">
        <v>22</v>
      </c>
    </row>
    <row r="10" spans="2:5" x14ac:dyDescent="0.25">
      <c r="B10" t="s">
        <v>24</v>
      </c>
      <c r="C10" s="1">
        <v>76000</v>
      </c>
      <c r="E10" s="1"/>
    </row>
    <row r="11" spans="2:5" x14ac:dyDescent="0.25">
      <c r="C11" t="s">
        <v>21</v>
      </c>
      <c r="D11" s="6" t="s">
        <v>28</v>
      </c>
      <c r="E11" s="1">
        <f>76000*50%</f>
        <v>38000</v>
      </c>
    </row>
    <row r="13" spans="2:5" x14ac:dyDescent="0.25">
      <c r="C13" s="1" t="s">
        <v>23</v>
      </c>
    </row>
    <row r="14" spans="2:5" x14ac:dyDescent="0.25">
      <c r="C14" t="s">
        <v>25</v>
      </c>
    </row>
    <row r="15" spans="2:5" x14ac:dyDescent="0.25">
      <c r="B15" t="s">
        <v>26</v>
      </c>
      <c r="C15">
        <f>76000-38000</f>
        <v>38000</v>
      </c>
      <c r="D15" s="6" t="s">
        <v>27</v>
      </c>
      <c r="E15" s="1">
        <f>C15*50%</f>
        <v>19000</v>
      </c>
    </row>
  </sheetData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view="pageBreakPreview" zoomScaleNormal="100" zoomScaleSheetLayoutView="100" workbookViewId="0">
      <selection activeCell="H15" sqref="H15"/>
    </sheetView>
  </sheetViews>
  <sheetFormatPr defaultRowHeight="15" x14ac:dyDescent="0.25"/>
  <cols>
    <col min="3" max="3" width="26" bestFit="1" customWidth="1"/>
    <col min="4" max="5" width="14.28515625" bestFit="1" customWidth="1"/>
  </cols>
  <sheetData>
    <row r="1" spans="2:5" x14ac:dyDescent="0.25">
      <c r="B1" s="1" t="s">
        <v>168</v>
      </c>
    </row>
    <row r="3" spans="2:5" x14ac:dyDescent="0.25">
      <c r="B3" t="s">
        <v>69</v>
      </c>
      <c r="C3" s="1" t="s">
        <v>169</v>
      </c>
    </row>
    <row r="5" spans="2:5" x14ac:dyDescent="0.25">
      <c r="C5" s="1" t="s">
        <v>89</v>
      </c>
      <c r="D5" s="1" t="s">
        <v>81</v>
      </c>
      <c r="E5" s="1" t="s">
        <v>82</v>
      </c>
    </row>
    <row r="6" spans="2:5" x14ac:dyDescent="0.25">
      <c r="C6" t="s">
        <v>171</v>
      </c>
      <c r="D6" s="7">
        <v>1200000</v>
      </c>
      <c r="E6" s="7"/>
    </row>
    <row r="7" spans="2:5" x14ac:dyDescent="0.25">
      <c r="C7" s="35" t="s">
        <v>175</v>
      </c>
      <c r="D7" s="7"/>
      <c r="E7" s="7">
        <v>1200000</v>
      </c>
    </row>
    <row r="9" spans="2:5" x14ac:dyDescent="0.25">
      <c r="B9" t="s">
        <v>111</v>
      </c>
      <c r="C9" s="1" t="s">
        <v>170</v>
      </c>
    </row>
    <row r="11" spans="2:5" x14ac:dyDescent="0.25">
      <c r="C11" s="1" t="s">
        <v>89</v>
      </c>
      <c r="D11" s="1" t="s">
        <v>81</v>
      </c>
      <c r="E11" s="1" t="s">
        <v>82</v>
      </c>
    </row>
    <row r="12" spans="2:5" x14ac:dyDescent="0.25">
      <c r="C12" s="35" t="s">
        <v>175</v>
      </c>
      <c r="D12" s="7">
        <v>200000</v>
      </c>
      <c r="E12" s="7"/>
    </row>
    <row r="13" spans="2:5" x14ac:dyDescent="0.25">
      <c r="C13" s="1" t="s">
        <v>176</v>
      </c>
      <c r="D13" s="7"/>
      <c r="E13" s="7">
        <v>200000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3" max="3" width="27.7109375" bestFit="1" customWidth="1"/>
    <col min="4" max="4" width="26" bestFit="1" customWidth="1"/>
    <col min="5" max="5" width="9" bestFit="1" customWidth="1"/>
  </cols>
  <sheetData>
    <row r="1" spans="2:6" x14ac:dyDescent="0.25">
      <c r="B1" s="1" t="s">
        <v>68</v>
      </c>
    </row>
    <row r="3" spans="2:6" x14ac:dyDescent="0.25">
      <c r="C3" s="1" t="s">
        <v>70</v>
      </c>
    </row>
    <row r="5" spans="2:6" ht="30" x14ac:dyDescent="0.25">
      <c r="C5" s="2" t="s">
        <v>71</v>
      </c>
      <c r="D5" s="7">
        <v>61200</v>
      </c>
    </row>
    <row r="6" spans="2:6" x14ac:dyDescent="0.25">
      <c r="D6" s="22"/>
    </row>
    <row r="7" spans="2:6" ht="15.75" x14ac:dyDescent="0.25">
      <c r="B7" s="24" t="s">
        <v>69</v>
      </c>
      <c r="C7" s="14" t="s">
        <v>84</v>
      </c>
      <c r="D7" s="1" t="s">
        <v>89</v>
      </c>
      <c r="E7" s="1" t="s">
        <v>81</v>
      </c>
      <c r="F7" s="1" t="s">
        <v>82</v>
      </c>
    </row>
    <row r="8" spans="2:6" x14ac:dyDescent="0.25">
      <c r="C8" s="22" t="s">
        <v>72</v>
      </c>
      <c r="D8" t="s">
        <v>73</v>
      </c>
      <c r="E8" s="20">
        <v>61200</v>
      </c>
    </row>
    <row r="9" spans="2:6" x14ac:dyDescent="0.25">
      <c r="D9" t="s">
        <v>78</v>
      </c>
      <c r="F9" s="20">
        <v>61200</v>
      </c>
    </row>
    <row r="11" spans="2:6" ht="15.75" x14ac:dyDescent="0.25">
      <c r="B11" s="1" t="s">
        <v>111</v>
      </c>
      <c r="C11" s="14" t="s">
        <v>84</v>
      </c>
      <c r="D11" s="22"/>
    </row>
    <row r="12" spans="2:6" x14ac:dyDescent="0.25">
      <c r="C12" s="22" t="s">
        <v>74</v>
      </c>
      <c r="D12" s="1" t="s">
        <v>89</v>
      </c>
      <c r="E12" s="1" t="s">
        <v>81</v>
      </c>
      <c r="F12" s="1" t="s">
        <v>82</v>
      </c>
    </row>
    <row r="13" spans="2:6" x14ac:dyDescent="0.25">
      <c r="D13" t="s">
        <v>76</v>
      </c>
      <c r="E13" s="20">
        <v>3060</v>
      </c>
    </row>
    <row r="14" spans="2:6" x14ac:dyDescent="0.25">
      <c r="D14" t="s">
        <v>75</v>
      </c>
      <c r="F14" s="20">
        <v>3060</v>
      </c>
    </row>
    <row r="15" spans="2:6" ht="46.5" customHeight="1" x14ac:dyDescent="0.25">
      <c r="D15" s="8" t="s">
        <v>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="96" zoomScaleNormal="100" zoomScaleSheetLayoutView="96" workbookViewId="0">
      <selection activeCell="J15" sqref="J15"/>
    </sheetView>
  </sheetViews>
  <sheetFormatPr defaultRowHeight="15" x14ac:dyDescent="0.25"/>
  <cols>
    <col min="3" max="3" width="32.5703125" bestFit="1" customWidth="1"/>
    <col min="4" max="4" width="28.140625" bestFit="1" customWidth="1"/>
    <col min="6" max="6" width="13.140625" customWidth="1"/>
  </cols>
  <sheetData>
    <row r="1" spans="2:6" x14ac:dyDescent="0.25">
      <c r="B1" s="1" t="s">
        <v>29</v>
      </c>
    </row>
    <row r="2" spans="2:6" x14ac:dyDescent="0.25">
      <c r="C2" t="s">
        <v>30</v>
      </c>
      <c r="D2" s="7">
        <v>31500</v>
      </c>
    </row>
    <row r="3" spans="2:6" x14ac:dyDescent="0.25">
      <c r="C3" t="s">
        <v>31</v>
      </c>
    </row>
    <row r="5" spans="2:6" x14ac:dyDescent="0.25">
      <c r="B5" s="1" t="s">
        <v>69</v>
      </c>
      <c r="C5" s="1" t="s">
        <v>37</v>
      </c>
      <c r="F5" s="1" t="s">
        <v>34</v>
      </c>
    </row>
    <row r="6" spans="2:6" ht="30" x14ac:dyDescent="0.25">
      <c r="C6" t="s">
        <v>32</v>
      </c>
      <c r="D6" s="8" t="s">
        <v>33</v>
      </c>
      <c r="E6" t="s">
        <v>35</v>
      </c>
      <c r="F6" s="1">
        <f>31500/105*5</f>
        <v>1500</v>
      </c>
    </row>
    <row r="7" spans="2:6" x14ac:dyDescent="0.25">
      <c r="D7" s="8"/>
      <c r="F7" s="1"/>
    </row>
    <row r="8" spans="2:6" x14ac:dyDescent="0.25">
      <c r="B8" s="1" t="s">
        <v>111</v>
      </c>
      <c r="C8" s="1" t="s">
        <v>36</v>
      </c>
      <c r="F8" s="1" t="s">
        <v>40</v>
      </c>
    </row>
    <row r="9" spans="2:6" ht="30" x14ac:dyDescent="0.25">
      <c r="D9" s="8" t="s">
        <v>38</v>
      </c>
      <c r="E9" t="s">
        <v>39</v>
      </c>
      <c r="F9" s="1">
        <f>31500/105*100</f>
        <v>30000</v>
      </c>
    </row>
    <row r="10" spans="2:6" x14ac:dyDescent="0.25">
      <c r="D10" s="8"/>
      <c r="F10" s="1"/>
    </row>
    <row r="11" spans="2:6" x14ac:dyDescent="0.25">
      <c r="C11" s="1" t="s">
        <v>41</v>
      </c>
    </row>
    <row r="12" spans="2:6" x14ac:dyDescent="0.25">
      <c r="D12" s="1" t="s">
        <v>80</v>
      </c>
      <c r="E12" s="21" t="s">
        <v>81</v>
      </c>
      <c r="F12" s="1" t="s">
        <v>82</v>
      </c>
    </row>
    <row r="13" spans="2:6" x14ac:dyDescent="0.25">
      <c r="D13" t="s">
        <v>44</v>
      </c>
      <c r="E13" s="7">
        <v>31500</v>
      </c>
      <c r="F13" s="7"/>
    </row>
    <row r="14" spans="2:6" x14ac:dyDescent="0.25">
      <c r="D14" t="s">
        <v>45</v>
      </c>
      <c r="E14" s="7"/>
      <c r="F14" s="7">
        <v>1500</v>
      </c>
    </row>
    <row r="15" spans="2:6" x14ac:dyDescent="0.25">
      <c r="D15" t="s">
        <v>43</v>
      </c>
      <c r="E15" s="7"/>
      <c r="F15" s="7">
        <v>30000</v>
      </c>
    </row>
  </sheetData>
  <pageMargins left="0.7" right="0.7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3" max="3" width="15.28515625" bestFit="1" customWidth="1"/>
    <col min="4" max="4" width="44.7109375" bestFit="1" customWidth="1"/>
    <col min="5" max="5" width="20.5703125" bestFit="1" customWidth="1"/>
    <col min="6" max="6" width="17.28515625" bestFit="1" customWidth="1"/>
  </cols>
  <sheetData>
    <row r="1" spans="2:6" x14ac:dyDescent="0.25">
      <c r="B1" s="1" t="s">
        <v>46</v>
      </c>
    </row>
    <row r="4" spans="2:6" x14ac:dyDescent="0.25">
      <c r="C4" s="1" t="s">
        <v>49</v>
      </c>
      <c r="D4" s="7">
        <v>4594772</v>
      </c>
      <c r="E4" s="1" t="s">
        <v>50</v>
      </c>
      <c r="F4" s="7">
        <v>1717728</v>
      </c>
    </row>
    <row r="5" spans="2:6" x14ac:dyDescent="0.25">
      <c r="B5" s="1"/>
    </row>
    <row r="6" spans="2:6" x14ac:dyDescent="0.25">
      <c r="B6" s="1" t="s">
        <v>69</v>
      </c>
      <c r="C6" s="1" t="s">
        <v>47</v>
      </c>
      <c r="D6" s="11" t="s">
        <v>48</v>
      </c>
      <c r="E6" s="18" t="s">
        <v>62</v>
      </c>
      <c r="F6" s="10">
        <f>D4-F4</f>
        <v>2877044</v>
      </c>
    </row>
    <row r="9" spans="2:6" x14ac:dyDescent="0.25">
      <c r="B9" s="1" t="s">
        <v>111</v>
      </c>
      <c r="C9" s="1" t="s">
        <v>51</v>
      </c>
      <c r="D9" s="6" t="s">
        <v>52</v>
      </c>
      <c r="E9" s="17" t="s">
        <v>53</v>
      </c>
      <c r="F9" s="12" t="s">
        <v>54</v>
      </c>
    </row>
  </sheetData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view="pageBreakPreview" zoomScale="118" zoomScaleNormal="100" zoomScaleSheetLayoutView="118" workbookViewId="0">
      <selection activeCell="G14" sqref="G14"/>
    </sheetView>
  </sheetViews>
  <sheetFormatPr defaultRowHeight="15" x14ac:dyDescent="0.25"/>
  <cols>
    <col min="3" max="3" width="29.28515625" bestFit="1" customWidth="1"/>
    <col min="4" max="4" width="29.5703125" bestFit="1" customWidth="1"/>
  </cols>
  <sheetData>
    <row r="1" spans="2:6" x14ac:dyDescent="0.25">
      <c r="B1" s="1" t="s">
        <v>113</v>
      </c>
    </row>
    <row r="3" spans="2:6" x14ac:dyDescent="0.25">
      <c r="B3" s="1" t="s">
        <v>69</v>
      </c>
      <c r="C3" s="1" t="s">
        <v>114</v>
      </c>
    </row>
    <row r="5" spans="2:6" ht="17.25" x14ac:dyDescent="0.3">
      <c r="C5" s="23" t="s">
        <v>84</v>
      </c>
      <c r="D5" s="23" t="s">
        <v>89</v>
      </c>
      <c r="E5" s="23" t="s">
        <v>81</v>
      </c>
      <c r="F5" s="23" t="s">
        <v>82</v>
      </c>
    </row>
    <row r="6" spans="2:6" x14ac:dyDescent="0.25">
      <c r="C6" s="25">
        <v>43480</v>
      </c>
      <c r="D6" s="1" t="s">
        <v>172</v>
      </c>
      <c r="E6" s="20">
        <v>770</v>
      </c>
    </row>
    <row r="7" spans="2:6" x14ac:dyDescent="0.25">
      <c r="C7" s="25"/>
      <c r="D7" s="1" t="s">
        <v>173</v>
      </c>
      <c r="E7" s="20"/>
      <c r="F7" s="20">
        <v>96</v>
      </c>
    </row>
    <row r="8" spans="2:6" x14ac:dyDescent="0.25">
      <c r="C8" s="25"/>
      <c r="D8" s="1" t="s">
        <v>116</v>
      </c>
      <c r="F8" s="10">
        <v>58.9</v>
      </c>
    </row>
    <row r="9" spans="2:6" x14ac:dyDescent="0.25">
      <c r="D9" s="1" t="s">
        <v>174</v>
      </c>
      <c r="F9" s="10">
        <v>615.1</v>
      </c>
    </row>
    <row r="10" spans="2:6" x14ac:dyDescent="0.25">
      <c r="D10" s="1"/>
      <c r="E10" s="9"/>
      <c r="F10" s="10"/>
    </row>
    <row r="12" spans="2:6" x14ac:dyDescent="0.25">
      <c r="B12" s="1" t="s">
        <v>111</v>
      </c>
    </row>
    <row r="13" spans="2:6" x14ac:dyDescent="0.25">
      <c r="C13" s="1" t="s">
        <v>115</v>
      </c>
    </row>
    <row r="15" spans="2:6" x14ac:dyDescent="0.25">
      <c r="C15" s="1" t="s">
        <v>84</v>
      </c>
      <c r="D15" s="1" t="s">
        <v>89</v>
      </c>
      <c r="E15" s="1" t="s">
        <v>81</v>
      </c>
      <c r="F15" s="1" t="s">
        <v>82</v>
      </c>
    </row>
    <row r="16" spans="2:6" x14ac:dyDescent="0.25">
      <c r="C16" s="25">
        <v>43480</v>
      </c>
      <c r="D16" s="1" t="s">
        <v>178</v>
      </c>
      <c r="E16" s="28">
        <v>615.1</v>
      </c>
      <c r="F16" s="9"/>
    </row>
    <row r="17" spans="4:6" x14ac:dyDescent="0.25">
      <c r="D17" s="1" t="s">
        <v>177</v>
      </c>
      <c r="E17" s="9"/>
      <c r="F17" s="28">
        <v>615.1</v>
      </c>
    </row>
  </sheetData>
  <pageMargins left="0.7" right="0.7" top="0.75" bottom="0.75" header="0.3" footer="0.3"/>
  <pageSetup scale="9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view="pageBreakPreview" zoomScale="96" zoomScaleNormal="100" zoomScaleSheetLayoutView="96" workbookViewId="0">
      <selection activeCell="H13" sqref="H13"/>
    </sheetView>
  </sheetViews>
  <sheetFormatPr defaultRowHeight="15" x14ac:dyDescent="0.25"/>
  <cols>
    <col min="3" max="3" width="49.85546875" bestFit="1" customWidth="1"/>
    <col min="4" max="4" width="26" bestFit="1" customWidth="1"/>
    <col min="5" max="5" width="9" bestFit="1" customWidth="1"/>
  </cols>
  <sheetData>
    <row r="1" spans="2:6" x14ac:dyDescent="0.25">
      <c r="B1" s="1" t="s">
        <v>79</v>
      </c>
    </row>
    <row r="2" spans="2:6" x14ac:dyDescent="0.25">
      <c r="C2" t="s">
        <v>85</v>
      </c>
    </row>
    <row r="3" spans="2:6" x14ac:dyDescent="0.25">
      <c r="D3" s="22"/>
    </row>
    <row r="4" spans="2:6" ht="15.75" x14ac:dyDescent="0.25">
      <c r="B4" s="1" t="s">
        <v>69</v>
      </c>
      <c r="C4" s="14" t="s">
        <v>84</v>
      </c>
      <c r="D4" s="1" t="s">
        <v>89</v>
      </c>
      <c r="E4" s="1" t="s">
        <v>81</v>
      </c>
      <c r="F4" s="1" t="s">
        <v>82</v>
      </c>
    </row>
    <row r="5" spans="2:6" x14ac:dyDescent="0.25">
      <c r="C5" s="22" t="s">
        <v>83</v>
      </c>
      <c r="D5" t="s">
        <v>123</v>
      </c>
      <c r="E5" s="20">
        <v>85500</v>
      </c>
    </row>
    <row r="6" spans="2:6" x14ac:dyDescent="0.25">
      <c r="D6" t="s">
        <v>78</v>
      </c>
      <c r="F6" s="20">
        <v>85500</v>
      </c>
    </row>
    <row r="8" spans="2:6" ht="15.75" x14ac:dyDescent="0.25">
      <c r="B8" s="1" t="s">
        <v>111</v>
      </c>
      <c r="C8" s="14" t="s">
        <v>84</v>
      </c>
      <c r="D8" s="1" t="s">
        <v>89</v>
      </c>
      <c r="E8" s="1" t="s">
        <v>81</v>
      </c>
      <c r="F8" s="1" t="s">
        <v>82</v>
      </c>
    </row>
    <row r="9" spans="2:6" x14ac:dyDescent="0.25">
      <c r="C9" s="1" t="s">
        <v>86</v>
      </c>
      <c r="D9" t="s">
        <v>76</v>
      </c>
      <c r="E9" s="20">
        <v>1140</v>
      </c>
    </row>
    <row r="10" spans="2:6" x14ac:dyDescent="0.25">
      <c r="D10" t="s">
        <v>75</v>
      </c>
      <c r="F10" s="20">
        <v>1140</v>
      </c>
    </row>
    <row r="11" spans="2:6" ht="45" x14ac:dyDescent="0.25">
      <c r="D11" s="8" t="s">
        <v>87</v>
      </c>
    </row>
    <row r="13" spans="2:6" ht="15.75" x14ac:dyDescent="0.25">
      <c r="B13" s="1" t="s">
        <v>110</v>
      </c>
      <c r="C13" s="14" t="s">
        <v>84</v>
      </c>
      <c r="D13" s="1" t="s">
        <v>89</v>
      </c>
      <c r="E13" s="1" t="s">
        <v>81</v>
      </c>
      <c r="F13" s="1" t="s">
        <v>82</v>
      </c>
    </row>
    <row r="14" spans="2:6" x14ac:dyDescent="0.25">
      <c r="C14" s="1" t="s">
        <v>88</v>
      </c>
      <c r="D14" t="s">
        <v>90</v>
      </c>
      <c r="E14" s="20">
        <v>85500</v>
      </c>
    </row>
    <row r="15" spans="2:6" x14ac:dyDescent="0.25">
      <c r="D15" t="s">
        <v>91</v>
      </c>
      <c r="E15" s="20">
        <v>6840</v>
      </c>
    </row>
    <row r="16" spans="2:6" x14ac:dyDescent="0.25">
      <c r="D16" t="s">
        <v>42</v>
      </c>
      <c r="F16" s="20">
        <v>92340</v>
      </c>
    </row>
    <row r="19" spans="2:5" ht="17.25" x14ac:dyDescent="0.3">
      <c r="B19" s="1" t="s">
        <v>112</v>
      </c>
      <c r="C19" s="23" t="s">
        <v>92</v>
      </c>
      <c r="D19" s="20" t="s">
        <v>93</v>
      </c>
      <c r="E19" s="20">
        <v>6840</v>
      </c>
    </row>
  </sheetData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zoomScale="86" zoomScaleNormal="100" zoomScaleSheetLayoutView="86" workbookViewId="0">
      <selection activeCell="K15" sqref="K15"/>
    </sheetView>
  </sheetViews>
  <sheetFormatPr defaultRowHeight="15" x14ac:dyDescent="0.25"/>
  <cols>
    <col min="2" max="2" width="16.5703125" bestFit="1" customWidth="1"/>
    <col min="3" max="3" width="70.5703125" bestFit="1" customWidth="1"/>
    <col min="4" max="4" width="26" bestFit="1" customWidth="1"/>
    <col min="5" max="6" width="10" bestFit="1" customWidth="1"/>
  </cols>
  <sheetData>
    <row r="1" spans="2:6" x14ac:dyDescent="0.25">
      <c r="B1" s="1" t="s">
        <v>94</v>
      </c>
    </row>
    <row r="3" spans="2:6" ht="15.75" x14ac:dyDescent="0.25">
      <c r="B3" s="1" t="s">
        <v>69</v>
      </c>
      <c r="C3" s="14"/>
      <c r="D3" s="1" t="s">
        <v>89</v>
      </c>
      <c r="E3" s="1" t="s">
        <v>81</v>
      </c>
      <c r="F3" s="1" t="s">
        <v>82</v>
      </c>
    </row>
    <row r="4" spans="2:6" x14ac:dyDescent="0.25">
      <c r="D4" t="s">
        <v>95</v>
      </c>
      <c r="E4" s="20">
        <v>19485</v>
      </c>
    </row>
    <row r="5" spans="2:6" x14ac:dyDescent="0.25">
      <c r="D5" t="s">
        <v>42</v>
      </c>
      <c r="F5" s="20">
        <v>19485</v>
      </c>
    </row>
    <row r="6" spans="2:6" ht="60" x14ac:dyDescent="0.25">
      <c r="D6" s="8" t="s">
        <v>96</v>
      </c>
    </row>
    <row r="8" spans="2:6" x14ac:dyDescent="0.25">
      <c r="B8" s="1" t="s">
        <v>111</v>
      </c>
      <c r="C8" s="1" t="s">
        <v>97</v>
      </c>
    </row>
    <row r="9" spans="2:6" x14ac:dyDescent="0.25">
      <c r="C9" s="1"/>
    </row>
    <row r="10" spans="2:6" x14ac:dyDescent="0.25">
      <c r="C10" s="1" t="s">
        <v>98</v>
      </c>
      <c r="D10" t="s">
        <v>99</v>
      </c>
      <c r="E10">
        <f>39200+41200</f>
        <v>80400</v>
      </c>
    </row>
    <row r="11" spans="2:6" x14ac:dyDescent="0.25">
      <c r="C11" s="1" t="s">
        <v>100</v>
      </c>
      <c r="D11" t="s">
        <v>101</v>
      </c>
      <c r="E11">
        <f>E10*0.03</f>
        <v>2412</v>
      </c>
    </row>
    <row r="12" spans="2:6" x14ac:dyDescent="0.25">
      <c r="C12" s="1" t="s">
        <v>102</v>
      </c>
      <c r="D12" t="s">
        <v>103</v>
      </c>
      <c r="E12">
        <f>E11*15</f>
        <v>36180</v>
      </c>
    </row>
    <row r="13" spans="2:6" x14ac:dyDescent="0.25">
      <c r="C13" s="1"/>
    </row>
    <row r="14" spans="2:6" x14ac:dyDescent="0.25">
      <c r="C14" s="1" t="s">
        <v>84</v>
      </c>
      <c r="D14" s="1" t="s">
        <v>89</v>
      </c>
      <c r="E14" s="1" t="s">
        <v>81</v>
      </c>
      <c r="F14" s="1" t="s">
        <v>82</v>
      </c>
    </row>
    <row r="15" spans="2:6" x14ac:dyDescent="0.25">
      <c r="C15" s="1" t="s">
        <v>105</v>
      </c>
      <c r="D15" t="s">
        <v>104</v>
      </c>
      <c r="E15" s="20">
        <v>36180</v>
      </c>
    </row>
    <row r="16" spans="2:6" x14ac:dyDescent="0.25">
      <c r="D16" t="s">
        <v>95</v>
      </c>
      <c r="F16" s="20">
        <v>36180</v>
      </c>
    </row>
    <row r="17" spans="2:6" ht="30" x14ac:dyDescent="0.25">
      <c r="D17" s="8" t="s">
        <v>106</v>
      </c>
    </row>
    <row r="21" spans="2:6" x14ac:dyDescent="0.25">
      <c r="B21" s="1" t="s">
        <v>110</v>
      </c>
      <c r="C21" s="1" t="s">
        <v>107</v>
      </c>
    </row>
    <row r="23" spans="2:6" x14ac:dyDescent="0.25">
      <c r="C23" s="1" t="s">
        <v>84</v>
      </c>
      <c r="D23" s="1" t="s">
        <v>89</v>
      </c>
      <c r="E23" s="1" t="s">
        <v>81</v>
      </c>
      <c r="F23" s="1" t="s">
        <v>82</v>
      </c>
    </row>
    <row r="24" spans="2:6" x14ac:dyDescent="0.25">
      <c r="C24" s="1" t="s">
        <v>108</v>
      </c>
      <c r="D24" t="s">
        <v>104</v>
      </c>
      <c r="E24" s="7">
        <v>7500</v>
      </c>
    </row>
    <row r="25" spans="2:6" x14ac:dyDescent="0.25">
      <c r="D25" t="s">
        <v>95</v>
      </c>
      <c r="F25" s="7">
        <v>7500</v>
      </c>
    </row>
    <row r="26" spans="2:6" ht="60" x14ac:dyDescent="0.25">
      <c r="D26" s="8" t="s">
        <v>109</v>
      </c>
    </row>
  </sheetData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view="pageBreakPreview" zoomScale="98" zoomScaleNormal="100" zoomScaleSheetLayoutView="98" workbookViewId="0">
      <selection activeCell="D15" sqref="D15"/>
    </sheetView>
  </sheetViews>
  <sheetFormatPr defaultRowHeight="15" x14ac:dyDescent="0.25"/>
  <cols>
    <col min="3" max="3" width="31.7109375" bestFit="1" customWidth="1"/>
    <col min="4" max="4" width="44.7109375" bestFit="1" customWidth="1"/>
    <col min="5" max="5" width="31.42578125" bestFit="1" customWidth="1"/>
  </cols>
  <sheetData>
    <row r="1" spans="2:7" x14ac:dyDescent="0.25">
      <c r="B1" s="1" t="s">
        <v>55</v>
      </c>
    </row>
    <row r="2" spans="2:7" ht="15.75" x14ac:dyDescent="0.25">
      <c r="C2" s="37">
        <v>2020</v>
      </c>
      <c r="D2" s="37"/>
      <c r="E2" s="37"/>
      <c r="F2" s="37"/>
      <c r="G2" s="37"/>
    </row>
    <row r="3" spans="2:7" x14ac:dyDescent="0.25">
      <c r="B3" s="1" t="s">
        <v>69</v>
      </c>
      <c r="C3" s="1" t="s">
        <v>49</v>
      </c>
      <c r="D3" s="7">
        <v>11145</v>
      </c>
      <c r="E3" s="1" t="s">
        <v>50</v>
      </c>
      <c r="F3" s="7">
        <v>4795</v>
      </c>
    </row>
    <row r="4" spans="2:7" x14ac:dyDescent="0.25">
      <c r="C4" s="1"/>
      <c r="D4" s="13"/>
    </row>
    <row r="5" spans="2:7" ht="15.75" x14ac:dyDescent="0.25">
      <c r="C5" s="1" t="s">
        <v>51</v>
      </c>
      <c r="D5" s="6" t="s">
        <v>52</v>
      </c>
      <c r="E5" s="17" t="s">
        <v>56</v>
      </c>
      <c r="F5" s="15" t="s">
        <v>57</v>
      </c>
    </row>
    <row r="7" spans="2:7" x14ac:dyDescent="0.25">
      <c r="E7" s="17"/>
    </row>
    <row r="8" spans="2:7" x14ac:dyDescent="0.25">
      <c r="C8" s="1" t="s">
        <v>47</v>
      </c>
      <c r="D8" s="11" t="s">
        <v>48</v>
      </c>
      <c r="E8" s="17" t="s">
        <v>58</v>
      </c>
      <c r="F8" s="10">
        <f>D3-F3</f>
        <v>6350</v>
      </c>
      <c r="G8" s="1" t="s">
        <v>63</v>
      </c>
    </row>
    <row r="10" spans="2:7" ht="15.75" x14ac:dyDescent="0.25">
      <c r="C10" s="37">
        <v>2019</v>
      </c>
      <c r="D10" s="37"/>
      <c r="E10" s="37"/>
      <c r="F10" s="37"/>
      <c r="G10" s="37"/>
    </row>
    <row r="11" spans="2:7" ht="15.75" x14ac:dyDescent="0.25">
      <c r="D11" s="14"/>
    </row>
    <row r="12" spans="2:7" x14ac:dyDescent="0.25">
      <c r="C12" s="1" t="s">
        <v>49</v>
      </c>
      <c r="D12" s="7">
        <v>9616</v>
      </c>
      <c r="E12" s="1" t="s">
        <v>50</v>
      </c>
      <c r="F12" s="7">
        <v>5857</v>
      </c>
    </row>
    <row r="15" spans="2:7" ht="15.75" x14ac:dyDescent="0.25">
      <c r="C15" s="1" t="s">
        <v>51</v>
      </c>
      <c r="D15" s="6" t="s">
        <v>52</v>
      </c>
      <c r="E15" s="17" t="s">
        <v>59</v>
      </c>
      <c r="F15" s="16" t="s">
        <v>60</v>
      </c>
    </row>
    <row r="18" spans="2:7" ht="15.75" x14ac:dyDescent="0.25">
      <c r="C18" s="1" t="s">
        <v>47</v>
      </c>
      <c r="D18" s="11" t="s">
        <v>48</v>
      </c>
      <c r="E18" s="17" t="s">
        <v>61</v>
      </c>
      <c r="F18" s="19">
        <f>D12-F12</f>
        <v>3759</v>
      </c>
      <c r="G18" s="1" t="s">
        <v>63</v>
      </c>
    </row>
    <row r="21" spans="2:7" ht="15.75" x14ac:dyDescent="0.25">
      <c r="C21" s="37" t="s">
        <v>64</v>
      </c>
      <c r="D21" s="37"/>
      <c r="E21" s="37"/>
      <c r="F21" s="37"/>
      <c r="G21" s="37"/>
    </row>
    <row r="23" spans="2:7" ht="30" x14ac:dyDescent="0.25">
      <c r="B23" s="1" t="s">
        <v>111</v>
      </c>
      <c r="C23" s="3" t="s">
        <v>125</v>
      </c>
      <c r="D23" s="7">
        <f>11145-199</f>
        <v>10946</v>
      </c>
      <c r="E23" s="3" t="s">
        <v>124</v>
      </c>
      <c r="F23" s="7">
        <f>4795-199</f>
        <v>4596</v>
      </c>
    </row>
    <row r="25" spans="2:7" ht="15.75" x14ac:dyDescent="0.25">
      <c r="C25" s="1" t="s">
        <v>51</v>
      </c>
      <c r="D25" s="6" t="s">
        <v>52</v>
      </c>
      <c r="E25" s="17" t="s">
        <v>65</v>
      </c>
      <c r="F25" s="16" t="s">
        <v>66</v>
      </c>
    </row>
    <row r="27" spans="2:7" ht="15.75" x14ac:dyDescent="0.25">
      <c r="C27" s="1" t="s">
        <v>47</v>
      </c>
      <c r="D27" s="11" t="s">
        <v>48</v>
      </c>
      <c r="E27" s="17" t="s">
        <v>67</v>
      </c>
      <c r="F27" s="19">
        <f>D23-F23</f>
        <v>6350</v>
      </c>
    </row>
  </sheetData>
  <mergeCells count="3">
    <mergeCell ref="C10:G10"/>
    <mergeCell ref="C2:G2"/>
    <mergeCell ref="C21:G21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shafqaat nazeer</dc:creator>
  <cp:lastModifiedBy>Adnan</cp:lastModifiedBy>
  <dcterms:created xsi:type="dcterms:W3CDTF">2019-05-09T15:00:25Z</dcterms:created>
  <dcterms:modified xsi:type="dcterms:W3CDTF">2019-05-12T05:17:49Z</dcterms:modified>
</cp:coreProperties>
</file>